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charandeep.chana\Downloads\"/>
    </mc:Choice>
  </mc:AlternateContent>
  <xr:revisionPtr revIDLastSave="0" documentId="8_{DA130912-45B4-465F-B4C5-D5A0A2DE2EE4}" xr6:coauthVersionLast="47" xr6:coauthVersionMax="47" xr10:uidLastSave="{00000000-0000-0000-0000-000000000000}"/>
  <bookViews>
    <workbookView xWindow="-110" yWindow="-110" windowWidth="22780" windowHeight="14540" tabRatio="704" xr2:uid="{00000000-000D-0000-FFFF-FFFF00000000}"/>
  </bookViews>
  <sheets>
    <sheet name="Interim" sheetId="13" r:id="rId1"/>
    <sheet name="Perm" sheetId="11" r:id="rId2"/>
  </sheets>
  <definedNames>
    <definedName name="_xlnm.Print_Area" localSheetId="0">Interim!$B$2:$Q$31</definedName>
    <definedName name="_xlnm.Print_Area" localSheetId="1">Perm!$B$2:$AF$41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 i="11" l="1"/>
  <c r="D26" i="11"/>
  <c r="D25" i="11"/>
  <c r="D24" i="11"/>
  <c r="D22" i="11"/>
  <c r="D21" i="11"/>
  <c r="D20" i="11"/>
  <c r="H70" i="13"/>
  <c r="H65" i="13"/>
  <c r="H64" i="13"/>
  <c r="E64" i="13"/>
  <c r="D65" i="13" s="1"/>
  <c r="H63" i="13"/>
  <c r="E63" i="13"/>
  <c r="H62" i="13"/>
  <c r="E62" i="13"/>
  <c r="D62" i="13"/>
  <c r="H54" i="13"/>
  <c r="H53" i="13"/>
  <c r="F49" i="13"/>
  <c r="N47" i="13"/>
  <c r="L46" i="13"/>
  <c r="D64" i="13" s="1"/>
  <c r="J46" i="13"/>
  <c r="L45" i="13"/>
  <c r="D63" i="13" s="1"/>
  <c r="J45" i="13"/>
  <c r="J44" i="13"/>
  <c r="J43" i="13"/>
  <c r="J42" i="13"/>
  <c r="G16" i="13"/>
  <c r="G14" i="13"/>
  <c r="H37" i="13"/>
  <c r="H36" i="13"/>
  <c r="E36" i="13"/>
  <c r="D37" i="13" s="1"/>
  <c r="H35" i="13"/>
  <c r="E35" i="13"/>
  <c r="H34" i="13"/>
  <c r="E34" i="13"/>
  <c r="D34" i="13"/>
  <c r="H26" i="13"/>
  <c r="H25" i="13"/>
  <c r="F21" i="13"/>
  <c r="N19" i="13"/>
  <c r="L18" i="13"/>
  <c r="D36" i="13" s="1"/>
  <c r="J18" i="13"/>
  <c r="L17" i="13"/>
  <c r="D35" i="13" s="1"/>
  <c r="J17" i="13"/>
  <c r="J16" i="13"/>
  <c r="J15" i="13"/>
  <c r="J14" i="13"/>
  <c r="D15" i="13"/>
  <c r="E49" i="13" l="1"/>
  <c r="J63" i="13" s="1"/>
  <c r="D46" i="13"/>
  <c r="H46" i="13" s="1"/>
  <c r="D18" i="13"/>
  <c r="H18" i="13" s="1"/>
  <c r="D45" i="13"/>
  <c r="H45" i="13" s="1"/>
  <c r="D42" i="13"/>
  <c r="H42" i="13" s="1"/>
  <c r="D43" i="13"/>
  <c r="H43" i="13"/>
  <c r="D47" i="13"/>
  <c r="H47" i="13" s="1"/>
  <c r="D44" i="13"/>
  <c r="H44" i="13" s="1"/>
  <c r="G46" i="13"/>
  <c r="G44" i="13"/>
  <c r="G42" i="13"/>
  <c r="G45" i="13"/>
  <c r="G47" i="13"/>
  <c r="G43" i="13"/>
  <c r="E21" i="13"/>
  <c r="J37" i="13" s="1"/>
  <c r="H15" i="13"/>
  <c r="G15" i="13"/>
  <c r="D17" i="13"/>
  <c r="H17" i="13" s="1"/>
  <c r="D19" i="13"/>
  <c r="H19" i="13" s="1"/>
  <c r="D16" i="13"/>
  <c r="H16" i="13" s="1"/>
  <c r="G18" i="13"/>
  <c r="D14" i="13"/>
  <c r="G17" i="13"/>
  <c r="G19" i="13"/>
  <c r="D16" i="11"/>
  <c r="N28" i="11"/>
  <c r="L28" i="11"/>
  <c r="L29" i="11" s="1"/>
  <c r="J28" i="11"/>
  <c r="E27" i="11"/>
  <c r="J20" i="11"/>
  <c r="E23" i="11"/>
  <c r="K19" i="11"/>
  <c r="J19" i="11"/>
  <c r="K18" i="11"/>
  <c r="J18" i="11"/>
  <c r="K17" i="11"/>
  <c r="J17" i="11"/>
  <c r="K16" i="11"/>
  <c r="E19" i="11"/>
  <c r="E15" i="11"/>
  <c r="M27" i="11"/>
  <c r="N27" i="11" s="1"/>
  <c r="AA5" i="11"/>
  <c r="Z6" i="11" s="1"/>
  <c r="AA4" i="11"/>
  <c r="Z5" i="11" s="1"/>
  <c r="Z4" i="11"/>
  <c r="AA2" i="11"/>
  <c r="Z3" i="11" s="1"/>
  <c r="W3" i="11" l="1"/>
  <c r="Q3" i="11" s="1"/>
  <c r="X3" i="11"/>
  <c r="R3" i="11" s="1"/>
  <c r="U3" i="11"/>
  <c r="O3" i="11" s="1"/>
  <c r="V3" i="11"/>
  <c r="P3" i="11" s="1"/>
  <c r="E29" i="11"/>
  <c r="J65" i="13"/>
  <c r="J62" i="13"/>
  <c r="H68" i="13" s="1"/>
  <c r="J64" i="13"/>
  <c r="D21" i="13"/>
  <c r="H49" i="13"/>
  <c r="D49" i="13"/>
  <c r="G49" i="13"/>
  <c r="U2" i="11"/>
  <c r="O2" i="11" s="1"/>
  <c r="J36" i="13"/>
  <c r="J34" i="13"/>
  <c r="J35" i="13"/>
  <c r="G21" i="13"/>
  <c r="H14" i="13"/>
  <c r="H21" i="13" s="1"/>
  <c r="W4" i="11"/>
  <c r="Q4" i="11" s="1"/>
  <c r="W5" i="11"/>
  <c r="Q5" i="11" s="1"/>
  <c r="W6" i="11"/>
  <c r="Q6" i="11" s="1"/>
  <c r="W2" i="11"/>
  <c r="Q2" i="11" s="1"/>
  <c r="V4" i="11"/>
  <c r="P4" i="11" s="1"/>
  <c r="V5" i="11"/>
  <c r="P5" i="11" s="1"/>
  <c r="V6" i="11"/>
  <c r="P6" i="11" s="1"/>
  <c r="V2" i="11"/>
  <c r="P2" i="11" s="1"/>
  <c r="X5" i="11"/>
  <c r="R5" i="11" s="1"/>
  <c r="X6" i="11"/>
  <c r="R6" i="11" s="1"/>
  <c r="X4" i="11"/>
  <c r="R4" i="11" s="1"/>
  <c r="X2" i="11"/>
  <c r="R2" i="11" s="1"/>
  <c r="D14" i="11"/>
  <c r="D17" i="11"/>
  <c r="M25" i="11"/>
  <c r="N25" i="11" s="1"/>
  <c r="D12" i="11"/>
  <c r="U6" i="11"/>
  <c r="O6" i="11" s="1"/>
  <c r="M26" i="11"/>
  <c r="N26" i="11" s="1"/>
  <c r="M29" i="11"/>
  <c r="N29" i="11" s="1"/>
  <c r="U5" i="11"/>
  <c r="O5" i="11" s="1"/>
  <c r="D18" i="11"/>
  <c r="D13" i="11"/>
  <c r="U4" i="11"/>
  <c r="O4" i="11" s="1"/>
  <c r="D29" i="11" l="1"/>
  <c r="H71" i="13"/>
  <c r="H40" i="13"/>
  <c r="H51" i="13"/>
  <c r="H55" i="13" s="1"/>
  <c r="P7" i="11"/>
  <c r="F19" i="11" s="1"/>
  <c r="O7" i="11"/>
  <c r="F15" i="11" s="1"/>
  <c r="H23" i="13"/>
  <c r="H27" i="13" s="1"/>
  <c r="H30" i="13" s="1"/>
  <c r="Q7" i="11"/>
  <c r="F23" i="11" s="1"/>
  <c r="R7" i="11"/>
  <c r="F27" i="11" s="1"/>
  <c r="O13" i="11"/>
  <c r="P13" i="11" s="1"/>
  <c r="O15" i="11"/>
  <c r="P15" i="11" s="1"/>
  <c r="O14" i="11"/>
  <c r="P14" i="11" s="1"/>
  <c r="F29" i="11" l="1"/>
  <c r="F33" i="11" s="1"/>
  <c r="H73" i="13"/>
  <c r="H58" i="13"/>
  <c r="H59" i="13" s="1"/>
  <c r="H72" i="13"/>
  <c r="H31" i="13"/>
  <c r="O12" i="11" l="1"/>
  <c r="P12" i="11" s="1"/>
  <c r="O16" i="11"/>
  <c r="P16" i="11" s="1"/>
  <c r="F34" i="11"/>
  <c r="P17" i="11" l="1"/>
  <c r="F37" i="11" s="1"/>
  <c r="F39" i="11" s="1"/>
  <c r="F41" i="11" s="1"/>
  <c r="O17" i="11"/>
</calcChain>
</file>

<file path=xl/sharedStrings.xml><?xml version="1.0" encoding="utf-8"?>
<sst xmlns="http://schemas.openxmlformats.org/spreadsheetml/2006/main" count="151" uniqueCount="92">
  <si>
    <t>Notes:</t>
  </si>
  <si>
    <t>P&amp;L</t>
  </si>
  <si>
    <t>Net fee income</t>
  </si>
  <si>
    <t>Commission</t>
  </si>
  <si>
    <t>month</t>
  </si>
  <si>
    <t>payable</t>
  </si>
  <si>
    <t xml:space="preserve">Platinum scheme bandings </t>
  </si>
  <si>
    <t>Comm.%</t>
  </si>
  <si>
    <t xml:space="preserve">to </t>
  </si>
  <si>
    <t>over</t>
  </si>
  <si>
    <t>Comm. %</t>
  </si>
  <si>
    <t>Net temp fee (Margin)</t>
  </si>
  <si>
    <t>Comm%</t>
  </si>
  <si>
    <t>NFI</t>
  </si>
  <si>
    <t>FTC, Perm Etc.</t>
  </si>
  <si>
    <t>(Margin)</t>
  </si>
  <si>
    <t xml:space="preserve">Month </t>
  </si>
  <si>
    <t>TOTAL</t>
  </si>
  <si>
    <t>Basic salary</t>
  </si>
  <si>
    <t>Month1</t>
  </si>
  <si>
    <t>Month2</t>
  </si>
  <si>
    <t>Month3</t>
  </si>
  <si>
    <t>Month4</t>
  </si>
  <si>
    <t>Month5</t>
  </si>
  <si>
    <t>Month6</t>
  </si>
  <si>
    <t>Month7</t>
  </si>
  <si>
    <t>Input your basic annual salary here</t>
  </si>
  <si>
    <t>No. of deals in first Qtr</t>
  </si>
  <si>
    <t>No. of deals in second Qtr</t>
  </si>
  <si>
    <t>PC or SPC</t>
  </si>
  <si>
    <t>YES</t>
  </si>
  <si>
    <t>NO</t>
  </si>
  <si>
    <t>Select if Principal Consultant or Snr Principal Consultant</t>
  </si>
  <si>
    <t>Note: This calculator is for illustration purposes only.  The payment and basis for all bonus and commission calculations will be subject to such conditions as Investigo may in its absolute discretion determine from time to time.</t>
  </si>
  <si>
    <t>Platinum Bonus</t>
  </si>
  <si>
    <t>If your temp NFI is lower than the previous 6 months, platinum top-up is  reduced by 50% for each Qtr where at least 5 deals have not been done or less than 10 deals have been done in the 6 months. This calculator assumes that the temp NFI will be higher or at least 10 deals are done.</t>
  </si>
  <si>
    <t>Total pay for the 6 months (Salary, Comm + Platinum)</t>
  </si>
  <si>
    <t>Input NFI in cells E14 to F19</t>
  </si>
  <si>
    <t>Mths 7 to 12</t>
  </si>
  <si>
    <r>
      <t xml:space="preserve">PLATINUM TOP-UP BONUS </t>
    </r>
    <r>
      <rPr>
        <b/>
        <sz val="9"/>
        <color theme="1"/>
        <rFont val="Calibri"/>
        <family val="2"/>
        <scheme val="minor"/>
      </rPr>
      <t>(paid in 6 equal instalments)</t>
    </r>
  </si>
  <si>
    <t>Threshold</t>
  </si>
  <si>
    <t>1 FTE Base Salary</t>
  </si>
  <si>
    <t>Month</t>
  </si>
  <si>
    <t>Salary</t>
  </si>
  <si>
    <t>Q1</t>
  </si>
  <si>
    <t>Q2</t>
  </si>
  <si>
    <t>Q3</t>
  </si>
  <si>
    <t>Q4</t>
  </si>
  <si>
    <t>Perm Commission Scheme Calculator</t>
  </si>
  <si>
    <t>Basic  salary</t>
  </si>
  <si>
    <t>INSERT/AMEND DETAILS ON BLUE CELLS</t>
  </si>
  <si>
    <t>Input your annual salary and NFI in the blue highlighted cells</t>
  </si>
  <si>
    <t>(perm/contract)</t>
  </si>
  <si>
    <t>Annual Salary</t>
  </si>
  <si>
    <t>PC /Partner (SPC)</t>
  </si>
  <si>
    <t xml:space="preserve">Commission Bandings </t>
  </si>
  <si>
    <t>A</t>
  </si>
  <si>
    <t>B</t>
  </si>
  <si>
    <t>Commission Bands</t>
  </si>
  <si>
    <t>Platinum Top up</t>
  </si>
  <si>
    <t>C</t>
  </si>
  <si>
    <t>D</t>
  </si>
  <si>
    <t>to</t>
  </si>
  <si>
    <t>Mths 4,5 &amp; 6</t>
  </si>
  <si>
    <t>+</t>
  </si>
  <si>
    <t>Mths 7, 8 &amp; 9</t>
  </si>
  <si>
    <t>January</t>
  </si>
  <si>
    <t>February</t>
  </si>
  <si>
    <t>March</t>
  </si>
  <si>
    <t>Net temp fee (perm/contract)</t>
  </si>
  <si>
    <t>April</t>
  </si>
  <si>
    <t>May</t>
  </si>
  <si>
    <t>June</t>
  </si>
  <si>
    <t>TOTAL PAY (Salary + Commission)</t>
  </si>
  <si>
    <t>% OF BILLINGS</t>
  </si>
  <si>
    <t>PLATINUM TOP UP BONUS</t>
  </si>
  <si>
    <t>TOTAL PAY (Salary, Comm + Platinum)</t>
  </si>
  <si>
    <t>No</t>
  </si>
  <si>
    <t>Annual</t>
  </si>
  <si>
    <t>Platinum</t>
  </si>
  <si>
    <t>Earnings</t>
  </si>
  <si>
    <t>Month8</t>
  </si>
  <si>
    <t>Month9</t>
  </si>
  <si>
    <t>Month10</t>
  </si>
  <si>
    <t>Month11</t>
  </si>
  <si>
    <t>Month12</t>
  </si>
  <si>
    <t>Month13</t>
  </si>
  <si>
    <t>Mths 13 to 18</t>
  </si>
  <si>
    <t>Commission calculator - TEMP scheme</t>
  </si>
  <si>
    <t>Mths 10, 11 &amp; 12</t>
  </si>
  <si>
    <t>Mths 13, 14 &amp; 15</t>
  </si>
  <si>
    <t>Calculated Half-Yearly and paid monthly in following half-year E.g. H1 platinum (Cells F15+F119) has 1/6th of that amount paid across H2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</si>
</sst>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quot;£&quot;#,##0"/>
    <numFmt numFmtId="165" formatCode="&quot;£&quot;#,##0.00"/>
    <numFmt numFmtId="166" formatCode="#,##0%;[Red]\(#,##0%\)"/>
    <numFmt numFmtId="167" formatCode="0.0%"/>
  </numFmts>
  <fonts count="18" x14ac:knownFonts="1">
    <font>
      <sz val="11"/>
      <color theme="1"/>
      <name val="Calibri"/>
      <family val="2"/>
      <scheme val="minor"/>
    </font>
    <font>
      <b/>
      <sz val="11"/>
      <color theme="1"/>
      <name val="Calibri"/>
      <family val="2"/>
      <scheme val="minor"/>
    </font>
    <font>
      <b/>
      <sz val="12"/>
      <color theme="3" tint="0.79998168889431442"/>
      <name val="Calibri"/>
      <family val="2"/>
      <scheme val="minor"/>
    </font>
    <font>
      <sz val="11"/>
      <color theme="3" tint="0.79998168889431442"/>
      <name val="Calibri"/>
      <family val="2"/>
      <scheme val="minor"/>
    </font>
    <font>
      <b/>
      <sz val="14"/>
      <color theme="1"/>
      <name val="Calibri"/>
      <family val="2"/>
      <scheme val="minor"/>
    </font>
    <font>
      <sz val="11"/>
      <color theme="1"/>
      <name val="Calibri"/>
      <family val="2"/>
      <scheme val="minor"/>
    </font>
    <font>
      <b/>
      <sz val="14"/>
      <color theme="3" tint="0.79998168889431442"/>
      <name val="Calibri"/>
      <family val="2"/>
      <scheme val="minor"/>
    </font>
    <font>
      <b/>
      <i/>
      <sz val="10"/>
      <color theme="3"/>
      <name val="Calibri"/>
      <family val="2"/>
      <scheme val="minor"/>
    </font>
    <font>
      <b/>
      <sz val="12"/>
      <color theme="1"/>
      <name val="Calibri"/>
      <family val="2"/>
      <scheme val="minor"/>
    </font>
    <font>
      <i/>
      <sz val="8"/>
      <color theme="1"/>
      <name val="Calibri"/>
      <family val="2"/>
      <scheme val="minor"/>
    </font>
    <font>
      <b/>
      <sz val="8"/>
      <color theme="1"/>
      <name val="Calibri"/>
      <family val="2"/>
      <scheme val="minor"/>
    </font>
    <font>
      <b/>
      <sz val="9"/>
      <color theme="1"/>
      <name val="Calibri"/>
      <family val="2"/>
      <scheme val="minor"/>
    </font>
    <font>
      <b/>
      <sz val="11"/>
      <color theme="0"/>
      <name val="Calibri"/>
      <family val="2"/>
      <scheme val="minor"/>
    </font>
    <font>
      <sz val="11"/>
      <color theme="0"/>
      <name val="Calibri"/>
      <family val="2"/>
      <scheme val="minor"/>
    </font>
    <font>
      <i/>
      <sz val="8"/>
      <color theme="0"/>
      <name val="Calibri"/>
      <family val="2"/>
      <scheme val="minor"/>
    </font>
    <font>
      <b/>
      <sz val="8"/>
      <color theme="0"/>
      <name val="Calibri"/>
      <family val="2"/>
      <scheme val="minor"/>
    </font>
    <font>
      <sz val="8"/>
      <name val="Calibri"/>
      <family val="2"/>
      <scheme val="minor"/>
    </font>
    <font>
      <sz val="12"/>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3">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233">
    <xf numFmtId="0" fontId="0" fillId="0" borderId="0" xfId="0"/>
    <xf numFmtId="164" fontId="0" fillId="8" borderId="11" xfId="0" applyNumberFormat="1" applyFill="1" applyBorder="1" applyProtection="1">
      <protection locked="0"/>
    </xf>
    <xf numFmtId="164" fontId="1" fillId="8" borderId="21" xfId="0" applyNumberFormat="1" applyFont="1" applyFill="1" applyBorder="1" applyProtection="1">
      <protection locked="0"/>
    </xf>
    <xf numFmtId="0" fontId="6" fillId="2" borderId="0" xfId="0" applyFont="1" applyFill="1"/>
    <xf numFmtId="0" fontId="3" fillId="2" borderId="0" xfId="0" applyFont="1" applyFill="1"/>
    <xf numFmtId="0" fontId="1" fillId="0" borderId="0" xfId="0" applyFont="1"/>
    <xf numFmtId="0" fontId="2" fillId="2" borderId="0" xfId="0" applyFont="1" applyFill="1"/>
    <xf numFmtId="0" fontId="1" fillId="3" borderId="1" xfId="0" applyFont="1" applyFill="1" applyBorder="1" applyAlignment="1">
      <alignment horizontal="center"/>
    </xf>
    <xf numFmtId="0" fontId="1" fillId="3" borderId="2" xfId="0" applyFont="1" applyFill="1" applyBorder="1"/>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5" borderId="0" xfId="0" quotePrefix="1" applyFont="1" applyFill="1" applyAlignment="1">
      <alignment horizontal="right"/>
    </xf>
    <xf numFmtId="0" fontId="1" fillId="3" borderId="5" xfId="0" applyFont="1" applyFill="1" applyBorder="1" applyAlignment="1">
      <alignment horizontal="center"/>
    </xf>
    <xf numFmtId="0" fontId="1" fillId="3" borderId="6" xfId="0" applyFont="1" applyFill="1" applyBorder="1"/>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0" fillId="0" borderId="1" xfId="0" applyBorder="1"/>
    <xf numFmtId="0" fontId="0" fillId="0" borderId="2" xfId="0" applyBorder="1"/>
    <xf numFmtId="164" fontId="0" fillId="0" borderId="2" xfId="0" applyNumberFormat="1" applyBorder="1"/>
    <xf numFmtId="0" fontId="0" fillId="0" borderId="4" xfId="0" applyBorder="1"/>
    <xf numFmtId="0" fontId="0" fillId="0" borderId="10" xfId="0" applyBorder="1"/>
    <xf numFmtId="0" fontId="1" fillId="0" borderId="9" xfId="0" applyFont="1" applyBorder="1" applyAlignment="1">
      <alignment horizontal="right"/>
    </xf>
    <xf numFmtId="0" fontId="1" fillId="0" borderId="0" xfId="0" quotePrefix="1" applyFont="1" applyAlignment="1">
      <alignment horizontal="right"/>
    </xf>
    <xf numFmtId="164" fontId="1" fillId="0" borderId="0" xfId="0" applyNumberFormat="1" applyFont="1" applyAlignment="1">
      <alignment horizontal="left"/>
    </xf>
    <xf numFmtId="166" fontId="1" fillId="5" borderId="21" xfId="0" applyNumberFormat="1" applyFont="1" applyFill="1" applyBorder="1"/>
    <xf numFmtId="0" fontId="1" fillId="0" borderId="0" xfId="0" applyFont="1" applyAlignment="1">
      <alignment horizontal="right"/>
    </xf>
    <xf numFmtId="166" fontId="1" fillId="4" borderId="21" xfId="0" applyNumberFormat="1" applyFont="1" applyFill="1" applyBorder="1" applyAlignment="1">
      <alignment horizontal="right"/>
    </xf>
    <xf numFmtId="0" fontId="0" fillId="0" borderId="0" xfId="0" applyAlignment="1">
      <alignment wrapText="1"/>
    </xf>
    <xf numFmtId="0" fontId="0" fillId="0" borderId="0" xfId="0" applyAlignment="1">
      <alignment horizontal="left"/>
    </xf>
    <xf numFmtId="0" fontId="0" fillId="0" borderId="9" xfId="0" applyBorder="1"/>
    <xf numFmtId="17" fontId="0" fillId="0" borderId="9" xfId="0" applyNumberFormat="1" applyBorder="1"/>
    <xf numFmtId="164" fontId="0" fillId="3" borderId="11" xfId="0" applyNumberFormat="1" applyFill="1" applyBorder="1"/>
    <xf numFmtId="164" fontId="0" fillId="7" borderId="12" xfId="0" applyNumberFormat="1" applyFill="1" applyBorder="1"/>
    <xf numFmtId="164" fontId="1" fillId="3" borderId="27" xfId="0" applyNumberFormat="1" applyFont="1" applyFill="1" applyBorder="1"/>
    <xf numFmtId="165" fontId="0" fillId="0" borderId="0" xfId="0" applyNumberFormat="1"/>
    <xf numFmtId="17" fontId="0" fillId="0" borderId="10" xfId="0" applyNumberFormat="1" applyBorder="1" applyAlignment="1">
      <alignment horizontal="center"/>
    </xf>
    <xf numFmtId="0" fontId="1" fillId="3" borderId="12" xfId="0" applyFont="1" applyFill="1" applyBorder="1"/>
    <xf numFmtId="0" fontId="1" fillId="3" borderId="13" xfId="0" applyFont="1" applyFill="1" applyBorder="1"/>
    <xf numFmtId="0" fontId="1" fillId="3" borderId="14" xfId="0" applyFont="1" applyFill="1" applyBorder="1"/>
    <xf numFmtId="0" fontId="1" fillId="3" borderId="11" xfId="0" applyFont="1" applyFill="1" applyBorder="1"/>
    <xf numFmtId="9" fontId="0" fillId="0" borderId="0" xfId="0" applyNumberFormat="1"/>
    <xf numFmtId="0" fontId="0" fillId="0" borderId="15" xfId="0" applyBorder="1"/>
    <xf numFmtId="0" fontId="0" fillId="0" borderId="16" xfId="0" applyBorder="1"/>
    <xf numFmtId="0" fontId="0" fillId="0" borderId="17" xfId="0" applyBorder="1"/>
    <xf numFmtId="6" fontId="0" fillId="0" borderId="12" xfId="0" applyNumberFormat="1" applyBorder="1"/>
    <xf numFmtId="0" fontId="0" fillId="0" borderId="13" xfId="0" applyBorder="1" applyAlignment="1">
      <alignment horizontal="center"/>
    </xf>
    <xf numFmtId="6" fontId="0" fillId="0" borderId="13" xfId="0" applyNumberFormat="1" applyBorder="1"/>
    <xf numFmtId="9" fontId="0" fillId="0" borderId="11" xfId="0" applyNumberFormat="1" applyBorder="1"/>
    <xf numFmtId="0" fontId="0" fillId="0" borderId="0" xfId="0" applyAlignment="1">
      <alignment horizontal="right"/>
    </xf>
    <xf numFmtId="0" fontId="0" fillId="0" borderId="12" xfId="0" applyBorder="1"/>
    <xf numFmtId="17" fontId="0" fillId="0" borderId="18" xfId="0" applyNumberFormat="1" applyBorder="1"/>
    <xf numFmtId="0" fontId="0" fillId="0" borderId="20" xfId="0" applyBorder="1"/>
    <xf numFmtId="165" fontId="0" fillId="0" borderId="26" xfId="0" applyNumberFormat="1" applyBorder="1"/>
    <xf numFmtId="0" fontId="0" fillId="0" borderId="10" xfId="0" applyBorder="1" applyAlignment="1">
      <alignment horizontal="center"/>
    </xf>
    <xf numFmtId="164" fontId="1" fillId="7" borderId="12" xfId="0" applyNumberFormat="1" applyFont="1" applyFill="1" applyBorder="1"/>
    <xf numFmtId="17" fontId="0" fillId="0" borderId="10" xfId="0" applyNumberFormat="1" applyBorder="1"/>
    <xf numFmtId="0" fontId="1" fillId="0" borderId="0" xfId="0" applyFont="1" applyAlignment="1">
      <alignment horizontal="left"/>
    </xf>
    <xf numFmtId="3" fontId="0" fillId="5" borderId="0" xfId="0" applyNumberFormat="1" applyFill="1"/>
    <xf numFmtId="3" fontId="0" fillId="4" borderId="11" xfId="0" applyNumberFormat="1" applyFill="1" applyBorder="1"/>
    <xf numFmtId="164" fontId="1" fillId="3" borderId="11" xfId="0" applyNumberFormat="1" applyFont="1" applyFill="1" applyBorder="1"/>
    <xf numFmtId="164" fontId="1" fillId="3" borderId="28" xfId="0" applyNumberFormat="1" applyFont="1" applyFill="1" applyBorder="1"/>
    <xf numFmtId="3" fontId="0" fillId="0" borderId="0" xfId="0" applyNumberFormat="1"/>
    <xf numFmtId="165" fontId="0" fillId="0" borderId="10" xfId="0" applyNumberFormat="1" applyBorder="1"/>
    <xf numFmtId="0" fontId="0" fillId="0" borderId="18" xfId="0" applyBorder="1"/>
    <xf numFmtId="0" fontId="0" fillId="0" borderId="5" xfId="0" applyBorder="1"/>
    <xf numFmtId="0" fontId="0" fillId="0" borderId="6" xfId="0" applyBorder="1"/>
    <xf numFmtId="0" fontId="1" fillId="0" borderId="6" xfId="0" applyFont="1" applyBorder="1"/>
    <xf numFmtId="164" fontId="4" fillId="3" borderId="21" xfId="0" applyNumberFormat="1" applyFont="1" applyFill="1" applyBorder="1"/>
    <xf numFmtId="0" fontId="0" fillId="0" borderId="22" xfId="0" applyBorder="1"/>
    <xf numFmtId="10" fontId="8" fillId="6" borderId="21" xfId="0" applyNumberFormat="1" applyFont="1" applyFill="1" applyBorder="1"/>
    <xf numFmtId="0" fontId="0" fillId="0" borderId="8" xfId="0" applyBorder="1"/>
    <xf numFmtId="0" fontId="0" fillId="0" borderId="23" xfId="0" applyBorder="1"/>
    <xf numFmtId="164" fontId="0" fillId="0" borderId="0" xfId="0" applyNumberFormat="1"/>
    <xf numFmtId="167" fontId="0" fillId="0" borderId="24" xfId="1" applyNumberFormat="1" applyFont="1" applyBorder="1" applyProtection="1"/>
    <xf numFmtId="9" fontId="0" fillId="0" borderId="23" xfId="1" applyFont="1" applyBorder="1" applyProtection="1"/>
    <xf numFmtId="0" fontId="0" fillId="0" borderId="24" xfId="0" applyBorder="1"/>
    <xf numFmtId="0" fontId="0" fillId="0" borderId="19" xfId="0" applyBorder="1"/>
    <xf numFmtId="0" fontId="0" fillId="0" borderId="25" xfId="0" applyBorder="1"/>
    <xf numFmtId="0" fontId="7" fillId="0" borderId="0" xfId="0" applyFont="1"/>
    <xf numFmtId="0" fontId="0" fillId="0" borderId="29" xfId="0" applyBorder="1"/>
    <xf numFmtId="0" fontId="0" fillId="0" borderId="30" xfId="0" applyBorder="1"/>
    <xf numFmtId="0" fontId="0" fillId="0" borderId="9" xfId="0" applyBorder="1" applyAlignment="1">
      <alignment horizontal="right"/>
    </xf>
    <xf numFmtId="0" fontId="0" fillId="5" borderId="0" xfId="0" applyFill="1"/>
    <xf numFmtId="0" fontId="1" fillId="5" borderId="0" xfId="0" applyFont="1" applyFill="1"/>
    <xf numFmtId="4" fontId="0" fillId="5" borderId="0" xfId="0" applyNumberFormat="1" applyFill="1"/>
    <xf numFmtId="0" fontId="1" fillId="5" borderId="0" xfId="0" applyFont="1" applyFill="1" applyAlignment="1">
      <alignment horizontal="right"/>
    </xf>
    <xf numFmtId="164" fontId="0" fillId="5" borderId="34" xfId="0" applyNumberFormat="1" applyFill="1" applyBorder="1" applyAlignment="1">
      <alignment horizontal="left" wrapText="1"/>
    </xf>
    <xf numFmtId="4" fontId="0" fillId="5" borderId="2" xfId="0" applyNumberFormat="1" applyFill="1" applyBorder="1" applyAlignment="1">
      <alignment horizontal="left" wrapText="1"/>
    </xf>
    <xf numFmtId="164" fontId="0" fillId="5" borderId="2" xfId="0" applyNumberFormat="1" applyFill="1" applyBorder="1" applyAlignment="1">
      <alignment horizontal="left" wrapText="1"/>
    </xf>
    <xf numFmtId="164" fontId="0" fillId="5" borderId="4" xfId="0" applyNumberFormat="1" applyFill="1" applyBorder="1" applyAlignment="1">
      <alignment horizontal="left" wrapText="1"/>
    </xf>
    <xf numFmtId="165" fontId="0" fillId="5" borderId="0" xfId="0" applyNumberFormat="1" applyFill="1"/>
    <xf numFmtId="164" fontId="0" fillId="5" borderId="30" xfId="0" applyNumberFormat="1" applyFill="1" applyBorder="1" applyAlignment="1">
      <alignment horizontal="left" wrapText="1"/>
    </xf>
    <xf numFmtId="4" fontId="0" fillId="5" borderId="0" xfId="0" applyNumberFormat="1" applyFill="1" applyAlignment="1">
      <alignment horizontal="left" wrapText="1"/>
    </xf>
    <xf numFmtId="164" fontId="0" fillId="5" borderId="0" xfId="0" applyNumberFormat="1" applyFill="1" applyAlignment="1">
      <alignment horizontal="left" wrapText="1"/>
    </xf>
    <xf numFmtId="164" fontId="0" fillId="5" borderId="10" xfId="0" applyNumberFormat="1" applyFill="1" applyBorder="1" applyAlignment="1">
      <alignment horizontal="left" wrapText="1"/>
    </xf>
    <xf numFmtId="0" fontId="0" fillId="3" borderId="2" xfId="0" applyFill="1" applyBorder="1"/>
    <xf numFmtId="0" fontId="1" fillId="5" borderId="0" xfId="0" applyFont="1" applyFill="1" applyAlignment="1">
      <alignment horizontal="left"/>
    </xf>
    <xf numFmtId="165" fontId="0" fillId="4" borderId="0" xfId="0" applyNumberFormat="1" applyFill="1"/>
    <xf numFmtId="0" fontId="0" fillId="4" borderId="0" xfId="0" applyFill="1"/>
    <xf numFmtId="0" fontId="1" fillId="4" borderId="0" xfId="0" applyFont="1" applyFill="1"/>
    <xf numFmtId="0" fontId="0" fillId="3" borderId="6" xfId="0" applyFill="1" applyBorder="1"/>
    <xf numFmtId="0" fontId="0" fillId="5" borderId="0" xfId="0" applyFill="1" applyAlignment="1">
      <alignment horizontal="left" wrapText="1"/>
    </xf>
    <xf numFmtId="0" fontId="0" fillId="5" borderId="9" xfId="0" applyFill="1" applyBorder="1"/>
    <xf numFmtId="0" fontId="0" fillId="5" borderId="10" xfId="0" applyFill="1" applyBorder="1"/>
    <xf numFmtId="0" fontId="0" fillId="5" borderId="2" xfId="0" applyFill="1" applyBorder="1"/>
    <xf numFmtId="0" fontId="0" fillId="5" borderId="4" xfId="0" applyFill="1" applyBorder="1"/>
    <xf numFmtId="165" fontId="1" fillId="5" borderId="22" xfId="0" applyNumberFormat="1" applyFont="1" applyFill="1" applyBorder="1"/>
    <xf numFmtId="4" fontId="1" fillId="5" borderId="6" xfId="0" applyNumberFormat="1" applyFont="1" applyFill="1" applyBorder="1"/>
    <xf numFmtId="164" fontId="1" fillId="5" borderId="6" xfId="0" applyNumberFormat="1" applyFont="1" applyFill="1" applyBorder="1"/>
    <xf numFmtId="164" fontId="1" fillId="5" borderId="8" xfId="0" applyNumberFormat="1" applyFont="1" applyFill="1" applyBorder="1"/>
    <xf numFmtId="0" fontId="1" fillId="5" borderId="9" xfId="0" applyFont="1" applyFill="1" applyBorder="1" applyAlignment="1">
      <alignment horizontal="right"/>
    </xf>
    <xf numFmtId="164" fontId="1" fillId="4" borderId="21" xfId="0" applyNumberFormat="1" applyFont="1" applyFill="1" applyBorder="1" applyProtection="1">
      <protection locked="0"/>
    </xf>
    <xf numFmtId="164" fontId="1" fillId="4" borderId="21" xfId="0" applyNumberFormat="1" applyFont="1" applyFill="1" applyBorder="1" applyAlignment="1" applyProtection="1">
      <alignment horizontal="right"/>
      <protection locked="0"/>
    </xf>
    <xf numFmtId="0" fontId="0" fillId="5" borderId="0" xfId="0" applyFill="1" applyAlignment="1">
      <alignment horizontal="left"/>
    </xf>
    <xf numFmtId="164" fontId="1" fillId="4" borderId="0" xfId="0" applyNumberFormat="1" applyFont="1" applyFill="1"/>
    <xf numFmtId="164" fontId="1" fillId="4" borderId="21" xfId="0" applyNumberFormat="1" applyFont="1" applyFill="1" applyBorder="1"/>
    <xf numFmtId="0" fontId="0" fillId="5" borderId="15" xfId="0" applyFill="1" applyBorder="1"/>
    <xf numFmtId="6" fontId="0" fillId="4" borderId="17" xfId="0" applyNumberFormat="1" applyFill="1" applyBorder="1"/>
    <xf numFmtId="17" fontId="0" fillId="5" borderId="9" xfId="0" applyNumberFormat="1" applyFill="1" applyBorder="1" applyAlignment="1">
      <alignment horizontal="center"/>
    </xf>
    <xf numFmtId="164" fontId="0" fillId="4" borderId="11" xfId="0" applyNumberFormat="1" applyFill="1" applyBorder="1" applyProtection="1">
      <protection locked="0"/>
    </xf>
    <xf numFmtId="165" fontId="0" fillId="5" borderId="10" xfId="0" applyNumberFormat="1" applyFill="1" applyBorder="1"/>
    <xf numFmtId="0" fontId="0" fillId="5" borderId="23" xfId="0" applyFill="1" applyBorder="1"/>
    <xf numFmtId="6" fontId="0" fillId="4" borderId="24" xfId="0" applyNumberFormat="1" applyFill="1" applyBorder="1"/>
    <xf numFmtId="4" fontId="0" fillId="5" borderId="15" xfId="0" applyNumberFormat="1" applyFill="1" applyBorder="1"/>
    <xf numFmtId="4" fontId="0" fillId="5" borderId="16" xfId="0" applyNumberFormat="1" applyFill="1" applyBorder="1"/>
    <xf numFmtId="0" fontId="0" fillId="5" borderId="16" xfId="0" applyFill="1" applyBorder="1"/>
    <xf numFmtId="0" fontId="0" fillId="5" borderId="17" xfId="0" applyFill="1" applyBorder="1" applyAlignment="1">
      <alignment horizontal="left"/>
    </xf>
    <xf numFmtId="0" fontId="1" fillId="9" borderId="11" xfId="0" applyFont="1" applyFill="1" applyBorder="1"/>
    <xf numFmtId="0" fontId="1" fillId="5" borderId="10" xfId="0" applyFont="1" applyFill="1" applyBorder="1"/>
    <xf numFmtId="4" fontId="0" fillId="5" borderId="23" xfId="0" applyNumberFormat="1" applyFill="1" applyBorder="1"/>
    <xf numFmtId="0" fontId="0" fillId="5" borderId="24" xfId="0" applyFill="1" applyBorder="1" applyAlignment="1">
      <alignment horizontal="left"/>
    </xf>
    <xf numFmtId="6" fontId="0" fillId="5" borderId="12" xfId="0" applyNumberFormat="1" applyFill="1" applyBorder="1"/>
    <xf numFmtId="0" fontId="0" fillId="5" borderId="13" xfId="0" applyFill="1" applyBorder="1" applyAlignment="1">
      <alignment horizontal="center"/>
    </xf>
    <xf numFmtId="6" fontId="0" fillId="5" borderId="13" xfId="0" applyNumberFormat="1" applyFill="1" applyBorder="1"/>
    <xf numFmtId="9" fontId="0" fillId="9" borderId="11" xfId="0" applyNumberFormat="1" applyFill="1" applyBorder="1"/>
    <xf numFmtId="17" fontId="1" fillId="5" borderId="10" xfId="0" quotePrefix="1" applyNumberFormat="1" applyFont="1" applyFill="1" applyBorder="1"/>
    <xf numFmtId="0" fontId="0" fillId="5" borderId="19" xfId="0" applyFill="1" applyBorder="1"/>
    <xf numFmtId="6" fontId="0" fillId="4" borderId="25" xfId="0" applyNumberFormat="1" applyFill="1" applyBorder="1"/>
    <xf numFmtId="17" fontId="1" fillId="5" borderId="9" xfId="0" applyNumberFormat="1" applyFont="1" applyFill="1" applyBorder="1" applyAlignment="1">
      <alignment horizontal="center"/>
    </xf>
    <xf numFmtId="164" fontId="0" fillId="3" borderId="12" xfId="0" applyNumberFormat="1" applyFill="1" applyBorder="1"/>
    <xf numFmtId="164" fontId="1" fillId="5" borderId="21" xfId="0" applyNumberFormat="1" applyFont="1" applyFill="1" applyBorder="1"/>
    <xf numFmtId="164" fontId="1" fillId="3" borderId="10" xfId="0" applyNumberFormat="1" applyFont="1" applyFill="1" applyBorder="1"/>
    <xf numFmtId="17" fontId="1" fillId="5" borderId="10" xfId="0" applyNumberFormat="1" applyFont="1" applyFill="1" applyBorder="1"/>
    <xf numFmtId="8" fontId="0" fillId="5" borderId="0" xfId="0" applyNumberFormat="1" applyFill="1"/>
    <xf numFmtId="165" fontId="1" fillId="5" borderId="10" xfId="0" applyNumberFormat="1" applyFont="1" applyFill="1" applyBorder="1"/>
    <xf numFmtId="164" fontId="0" fillId="5" borderId="15" xfId="0" applyNumberFormat="1" applyFill="1" applyBorder="1"/>
    <xf numFmtId="6" fontId="0" fillId="5" borderId="16" xfId="0" applyNumberFormat="1" applyFill="1" applyBorder="1"/>
    <xf numFmtId="10" fontId="0" fillId="4" borderId="17" xfId="0" applyNumberFormat="1" applyFill="1" applyBorder="1"/>
    <xf numFmtId="164" fontId="0" fillId="5" borderId="0" xfId="0" applyNumberFormat="1" applyFill="1"/>
    <xf numFmtId="6" fontId="0" fillId="5" borderId="23" xfId="0" applyNumberFormat="1" applyFill="1" applyBorder="1"/>
    <xf numFmtId="6" fontId="0" fillId="5" borderId="0" xfId="0" applyNumberFormat="1" applyFill="1"/>
    <xf numFmtId="10" fontId="0" fillId="4" borderId="24" xfId="0" applyNumberFormat="1" applyFill="1" applyBorder="1"/>
    <xf numFmtId="4" fontId="1" fillId="5" borderId="19" xfId="0" applyNumberFormat="1" applyFont="1" applyFill="1" applyBorder="1"/>
    <xf numFmtId="4" fontId="1" fillId="5" borderId="20" xfId="0" applyNumberFormat="1" applyFont="1" applyFill="1" applyBorder="1"/>
    <xf numFmtId="0" fontId="1" fillId="5" borderId="20" xfId="0" applyFont="1" applyFill="1" applyBorder="1"/>
    <xf numFmtId="0" fontId="1" fillId="5" borderId="25" xfId="0" applyFont="1" applyFill="1" applyBorder="1" applyAlignment="1">
      <alignment horizontal="left"/>
    </xf>
    <xf numFmtId="6" fontId="0" fillId="5" borderId="13" xfId="0" applyNumberFormat="1" applyFill="1" applyBorder="1" applyAlignment="1">
      <alignment horizontal="center"/>
    </xf>
    <xf numFmtId="4" fontId="0" fillId="5" borderId="28" xfId="0" applyNumberFormat="1" applyFill="1" applyBorder="1" applyAlignment="1">
      <alignment horizontal="center"/>
    </xf>
    <xf numFmtId="6" fontId="0" fillId="5" borderId="19" xfId="0" applyNumberFormat="1" applyFill="1" applyBorder="1"/>
    <xf numFmtId="0" fontId="0" fillId="5" borderId="20" xfId="0" applyFill="1" applyBorder="1" applyAlignment="1">
      <alignment horizontal="center"/>
    </xf>
    <xf numFmtId="10" fontId="0" fillId="4" borderId="25" xfId="0" applyNumberFormat="1" applyFill="1" applyBorder="1"/>
    <xf numFmtId="4" fontId="0" fillId="5" borderId="35" xfId="0" applyNumberFormat="1" applyFill="1" applyBorder="1" applyAlignment="1">
      <alignment horizontal="center"/>
    </xf>
    <xf numFmtId="0" fontId="1" fillId="3" borderId="15" xfId="0" applyFont="1" applyFill="1" applyBorder="1"/>
    <xf numFmtId="0" fontId="1" fillId="3" borderId="16" xfId="0" applyFont="1" applyFill="1" applyBorder="1"/>
    <xf numFmtId="0" fontId="1" fillId="3" borderId="17" xfId="0" applyFont="1" applyFill="1" applyBorder="1"/>
    <xf numFmtId="8" fontId="0" fillId="4" borderId="12" xfId="0" applyNumberFormat="1" applyFill="1" applyBorder="1"/>
    <xf numFmtId="0" fontId="0" fillId="4" borderId="13" xfId="0" applyFill="1" applyBorder="1" applyAlignment="1">
      <alignment horizontal="center"/>
    </xf>
    <xf numFmtId="8" fontId="0" fillId="4" borderId="13" xfId="0" applyNumberFormat="1" applyFill="1" applyBorder="1"/>
    <xf numFmtId="9" fontId="0" fillId="4" borderId="11" xfId="0" applyNumberFormat="1" applyFill="1" applyBorder="1"/>
    <xf numFmtId="9" fontId="0" fillId="5" borderId="0" xfId="0" applyNumberFormat="1" applyFill="1"/>
    <xf numFmtId="167" fontId="0" fillId="5" borderId="0" xfId="1" applyNumberFormat="1" applyFont="1" applyFill="1" applyProtection="1"/>
    <xf numFmtId="8" fontId="13" fillId="5" borderId="0" xfId="0" applyNumberFormat="1" applyFont="1" applyFill="1"/>
    <xf numFmtId="0" fontId="13" fillId="5" borderId="0" xfId="0" applyFont="1" applyFill="1" applyAlignment="1">
      <alignment horizontal="center"/>
    </xf>
    <xf numFmtId="6" fontId="13" fillId="5" borderId="0" xfId="0" applyNumberFormat="1" applyFont="1" applyFill="1"/>
    <xf numFmtId="9" fontId="13" fillId="5" borderId="0" xfId="0" applyNumberFormat="1" applyFont="1" applyFill="1"/>
    <xf numFmtId="17" fontId="0" fillId="5" borderId="18" xfId="0" applyNumberFormat="1" applyFill="1" applyBorder="1"/>
    <xf numFmtId="0" fontId="0" fillId="5" borderId="36" xfId="0" applyFill="1" applyBorder="1"/>
    <xf numFmtId="164" fontId="0" fillId="3" borderId="31" xfId="0" applyNumberFormat="1" applyFill="1" applyBorder="1"/>
    <xf numFmtId="164" fontId="1" fillId="3" borderId="37" xfId="0" applyNumberFormat="1" applyFont="1" applyFill="1" applyBorder="1"/>
    <xf numFmtId="164" fontId="1" fillId="3" borderId="33" xfId="0" applyNumberFormat="1" applyFont="1" applyFill="1" applyBorder="1"/>
    <xf numFmtId="8" fontId="0" fillId="4" borderId="19" xfId="0" applyNumberFormat="1" applyFill="1" applyBorder="1"/>
    <xf numFmtId="0" fontId="0" fillId="4" borderId="20" xfId="0" applyFill="1" applyBorder="1" applyAlignment="1">
      <alignment horizontal="center"/>
    </xf>
    <xf numFmtId="0" fontId="0" fillId="5" borderId="30" xfId="0" applyFill="1" applyBorder="1"/>
    <xf numFmtId="17" fontId="0" fillId="5" borderId="30" xfId="0" applyNumberFormat="1" applyFill="1" applyBorder="1"/>
    <xf numFmtId="165" fontId="1" fillId="5" borderId="0" xfId="0" applyNumberFormat="1" applyFont="1" applyFill="1"/>
    <xf numFmtId="0" fontId="0" fillId="5" borderId="38" xfId="0" applyFill="1" applyBorder="1"/>
    <xf numFmtId="0" fontId="0" fillId="5" borderId="39" xfId="0" applyFill="1" applyBorder="1"/>
    <xf numFmtId="0" fontId="1" fillId="0" borderId="39" xfId="0" applyFont="1" applyBorder="1"/>
    <xf numFmtId="0" fontId="0" fillId="0" borderId="39" xfId="0" applyBorder="1"/>
    <xf numFmtId="0" fontId="0" fillId="5" borderId="22" xfId="0" applyFill="1" applyBorder="1"/>
    <xf numFmtId="0" fontId="0" fillId="5" borderId="6" xfId="0" applyFill="1" applyBorder="1"/>
    <xf numFmtId="0" fontId="1" fillId="5" borderId="6" xfId="0" applyFont="1" applyFill="1" applyBorder="1"/>
    <xf numFmtId="10" fontId="4" fillId="6" borderId="21" xfId="0" applyNumberFormat="1" applyFont="1" applyFill="1" applyBorder="1"/>
    <xf numFmtId="0" fontId="0" fillId="5" borderId="8" xfId="0" applyFill="1" applyBorder="1"/>
    <xf numFmtId="0" fontId="1" fillId="5" borderId="31" xfId="0" applyFont="1" applyFill="1" applyBorder="1"/>
    <xf numFmtId="0" fontId="0" fillId="5" borderId="32" xfId="0" applyFill="1" applyBorder="1"/>
    <xf numFmtId="0" fontId="1" fillId="5" borderId="32" xfId="0" applyFont="1" applyFill="1" applyBorder="1"/>
    <xf numFmtId="164" fontId="1" fillId="3" borderId="21" xfId="0" applyNumberFormat="1" applyFont="1" applyFill="1" applyBorder="1"/>
    <xf numFmtId="9" fontId="0" fillId="0" borderId="0" xfId="1" applyFont="1" applyProtection="1"/>
    <xf numFmtId="0" fontId="0" fillId="5" borderId="33" xfId="0" applyFill="1" applyBorder="1"/>
    <xf numFmtId="0" fontId="0" fillId="0" borderId="32" xfId="0" applyBorder="1"/>
    <xf numFmtId="0" fontId="13" fillId="5" borderId="0" xfId="0" applyFont="1" applyFill="1"/>
    <xf numFmtId="0" fontId="12" fillId="5" borderId="0" xfId="0" applyFont="1" applyFill="1"/>
    <xf numFmtId="0" fontId="13" fillId="5" borderId="0" xfId="0" applyFont="1" applyFill="1" applyAlignment="1">
      <alignment wrapText="1"/>
    </xf>
    <xf numFmtId="0" fontId="0" fillId="0" borderId="10" xfId="0" applyBorder="1" applyAlignment="1">
      <alignment horizontal="center" vertical="center"/>
    </xf>
    <xf numFmtId="0" fontId="8" fillId="3" borderId="31" xfId="0" applyFont="1" applyFill="1" applyBorder="1"/>
    <xf numFmtId="164" fontId="8" fillId="3" borderId="33" xfId="0" applyNumberFormat="1" applyFont="1" applyFill="1" applyBorder="1"/>
    <xf numFmtId="0" fontId="8" fillId="7" borderId="2" xfId="0" applyFont="1" applyFill="1" applyBorder="1"/>
    <xf numFmtId="164" fontId="17" fillId="7" borderId="4" xfId="0" applyNumberFormat="1" applyFont="1" applyFill="1" applyBorder="1"/>
    <xf numFmtId="0" fontId="8" fillId="7" borderId="0" xfId="0" applyFont="1" applyFill="1"/>
    <xf numFmtId="164" fontId="17" fillId="7" borderId="10" xfId="0" applyNumberFormat="1" applyFont="1" applyFill="1" applyBorder="1"/>
    <xf numFmtId="0" fontId="1" fillId="10" borderId="40" xfId="0" applyFont="1" applyFill="1" applyBorder="1" applyAlignment="1">
      <alignment horizontal="center" vertical="center"/>
    </xf>
    <xf numFmtId="0" fontId="1" fillId="10" borderId="41" xfId="0" applyFont="1" applyFill="1" applyBorder="1" applyAlignment="1">
      <alignment horizontal="center" vertical="center"/>
    </xf>
    <xf numFmtId="0" fontId="1" fillId="10" borderId="42" xfId="0" applyFont="1" applyFill="1" applyBorder="1" applyAlignment="1">
      <alignment horizontal="center" vertical="center"/>
    </xf>
    <xf numFmtId="164" fontId="1" fillId="4" borderId="12" xfId="0" applyNumberFormat="1" applyFont="1" applyFill="1" applyBorder="1" applyAlignment="1">
      <alignment horizontal="left"/>
    </xf>
    <xf numFmtId="164" fontId="1" fillId="4" borderId="13" xfId="0" applyNumberFormat="1" applyFont="1" applyFill="1" applyBorder="1" applyAlignment="1">
      <alignment horizontal="left"/>
    </xf>
    <xf numFmtId="164" fontId="1" fillId="4" borderId="14" xfId="0" applyNumberFormat="1" applyFont="1" applyFill="1" applyBorder="1" applyAlignment="1">
      <alignment horizontal="left"/>
    </xf>
    <xf numFmtId="164" fontId="9" fillId="4" borderId="34"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0" fillId="4" borderId="30" xfId="0" applyNumberFormat="1" applyFont="1" applyFill="1" applyBorder="1" applyAlignment="1">
      <alignment horizontal="center" vertical="center" wrapText="1"/>
    </xf>
    <xf numFmtId="164" fontId="10" fillId="4" borderId="0" xfId="0" applyNumberFormat="1" applyFont="1" applyFill="1" applyAlignment="1">
      <alignment horizontal="center" vertical="center" wrapText="1"/>
    </xf>
    <xf numFmtId="164" fontId="10" fillId="4" borderId="10" xfId="0" applyNumberFormat="1" applyFont="1" applyFill="1" applyBorder="1" applyAlignment="1">
      <alignment horizontal="center" vertical="center" wrapText="1"/>
    </xf>
    <xf numFmtId="164" fontId="10" fillId="4" borderId="22" xfId="0" applyNumberFormat="1" applyFont="1" applyFill="1" applyBorder="1" applyAlignment="1">
      <alignment horizontal="center" vertical="center" wrapText="1"/>
    </xf>
    <xf numFmtId="164" fontId="10" fillId="4" borderId="6" xfId="0" applyNumberFormat="1"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164" fontId="14" fillId="5" borderId="0" xfId="0" applyNumberFormat="1" applyFont="1" applyFill="1" applyAlignment="1">
      <alignment horizontal="center" vertical="center" wrapText="1"/>
    </xf>
    <xf numFmtId="164" fontId="15" fillId="5" borderId="0" xfId="0" applyNumberFormat="1" applyFont="1" applyFill="1" applyAlignment="1">
      <alignment horizontal="center" vertical="center" wrapText="1"/>
    </xf>
    <xf numFmtId="0" fontId="1" fillId="9" borderId="12" xfId="0" applyFont="1" applyFill="1" applyBorder="1" applyAlignment="1">
      <alignment horizontal="center"/>
    </xf>
    <xf numFmtId="0" fontId="1" fillId="9" borderId="13" xfId="0" applyFont="1" applyFill="1" applyBorder="1" applyAlignment="1">
      <alignment horizontal="center"/>
    </xf>
    <xf numFmtId="0" fontId="1" fillId="9" borderId="14"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76200</xdr:colOff>
      <xdr:row>7</xdr:row>
      <xdr:rowOff>76200</xdr:rowOff>
    </xdr:from>
    <xdr:to>
      <xdr:col>10</xdr:col>
      <xdr:colOff>238125</xdr:colOff>
      <xdr:row>7</xdr:row>
      <xdr:rowOff>95250</xdr:rowOff>
    </xdr:to>
    <xdr:cxnSp macro="">
      <xdr:nvCxnSpPr>
        <xdr:cNvPr id="2" name="Straight Arrow Connector 1">
          <a:extLst>
            <a:ext uri="{FF2B5EF4-FFF2-40B4-BE49-F238E27FC236}">
              <a16:creationId xmlns:a16="http://schemas.microsoft.com/office/drawing/2014/main" id="{54539F7C-4846-4F14-896A-54711396CBD9}"/>
            </a:ext>
          </a:extLst>
        </xdr:cNvPr>
        <xdr:cNvCxnSpPr/>
      </xdr:nvCxnSpPr>
      <xdr:spPr>
        <a:xfrm flipH="1">
          <a:off x="2924175" y="847725"/>
          <a:ext cx="5940425" cy="19050"/>
        </a:xfrm>
        <a:prstGeom prst="straightConnector1">
          <a:avLst/>
        </a:prstGeom>
        <a:ln w="15875">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xdr:colOff>
      <xdr:row>11</xdr:row>
      <xdr:rowOff>76200</xdr:rowOff>
    </xdr:from>
    <xdr:to>
      <xdr:col>10</xdr:col>
      <xdr:colOff>200024</xdr:colOff>
      <xdr:row>11</xdr:row>
      <xdr:rowOff>95250</xdr:rowOff>
    </xdr:to>
    <xdr:cxnSp macro="">
      <xdr:nvCxnSpPr>
        <xdr:cNvPr id="3" name="Straight Arrow Connector 2">
          <a:extLst>
            <a:ext uri="{FF2B5EF4-FFF2-40B4-BE49-F238E27FC236}">
              <a16:creationId xmlns:a16="http://schemas.microsoft.com/office/drawing/2014/main" id="{16AC09A4-0A1C-47E8-9106-E30BDE713223}"/>
            </a:ext>
          </a:extLst>
        </xdr:cNvPr>
        <xdr:cNvCxnSpPr/>
      </xdr:nvCxnSpPr>
      <xdr:spPr>
        <a:xfrm flipH="1">
          <a:off x="2905125" y="1428750"/>
          <a:ext cx="5927724" cy="0"/>
        </a:xfrm>
        <a:prstGeom prst="straightConnector1">
          <a:avLst/>
        </a:prstGeom>
        <a:ln w="15875">
          <a:round/>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47625</xdr:colOff>
      <xdr:row>8</xdr:row>
      <xdr:rowOff>95250</xdr:rowOff>
    </xdr:from>
    <xdr:to>
      <xdr:col>19</xdr:col>
      <xdr:colOff>123825</xdr:colOff>
      <xdr:row>8</xdr:row>
      <xdr:rowOff>95250</xdr:rowOff>
    </xdr:to>
    <xdr:cxnSp macro="">
      <xdr:nvCxnSpPr>
        <xdr:cNvPr id="2" name="Straight Arrow Connector 1">
          <a:extLst>
            <a:ext uri="{FF2B5EF4-FFF2-40B4-BE49-F238E27FC236}">
              <a16:creationId xmlns:a16="http://schemas.microsoft.com/office/drawing/2014/main" id="{B40038F4-239C-4EF4-A286-472E723EE202}"/>
            </a:ext>
          </a:extLst>
        </xdr:cNvPr>
        <xdr:cNvCxnSpPr/>
      </xdr:nvCxnSpPr>
      <xdr:spPr>
        <a:xfrm flipH="1">
          <a:off x="2587625" y="1838325"/>
          <a:ext cx="3717925" cy="0"/>
        </a:xfrm>
        <a:prstGeom prst="straightConnector1">
          <a:avLst/>
        </a:prstGeom>
        <a:ln w="15875">
          <a:round/>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AE3BB-B532-45D8-A8E1-AD6035BF45C5}">
  <sheetPr>
    <tabColor rgb="FF00B050"/>
    <pageSetUpPr fitToPage="1"/>
  </sheetPr>
  <dimension ref="B1:T75"/>
  <sheetViews>
    <sheetView showGridLines="0" tabSelected="1" topLeftCell="A2" zoomScale="80" zoomScaleNormal="80" zoomScaleSheetLayoutView="100" workbookViewId="0">
      <selection activeCell="M71" sqref="M71"/>
    </sheetView>
  </sheetViews>
  <sheetFormatPr defaultRowHeight="14.5" x14ac:dyDescent="0.35"/>
  <cols>
    <col min="1" max="1" width="3.7265625" customWidth="1"/>
    <col min="2" max="2" width="17.6328125" customWidth="1"/>
    <col min="3" max="3" width="1.7265625" customWidth="1"/>
    <col min="4" max="4" width="17.7265625" customWidth="1"/>
    <col min="5" max="7" width="17.81640625" customWidth="1"/>
    <col min="8" max="8" width="15.54296875" customWidth="1"/>
    <col min="9" max="9" width="1.54296875" customWidth="1"/>
    <col min="10" max="10" width="13.453125" customWidth="1"/>
    <col min="11" max="11" width="3.7265625" customWidth="1"/>
    <col min="12" max="12" width="10.1796875" bestFit="1" customWidth="1"/>
    <col min="14" max="14" width="10.1796875" bestFit="1" customWidth="1"/>
    <col min="16" max="16" width="9.54296875" customWidth="1"/>
    <col min="18" max="18" width="9.1796875" customWidth="1"/>
    <col min="20" max="20" width="10" hidden="1" customWidth="1"/>
  </cols>
  <sheetData>
    <row r="1" spans="2:20" hidden="1" x14ac:dyDescent="0.35"/>
    <row r="2" spans="2:20" ht="18.5" x14ac:dyDescent="0.45">
      <c r="B2" s="3" t="s">
        <v>88</v>
      </c>
      <c r="C2" s="4"/>
      <c r="D2" s="4"/>
      <c r="E2" s="4"/>
      <c r="F2" s="4"/>
      <c r="G2" s="4"/>
      <c r="H2" s="4"/>
      <c r="I2" s="4"/>
      <c r="J2" s="4"/>
      <c r="L2" s="5" t="s">
        <v>0</v>
      </c>
    </row>
    <row r="3" spans="2:20" ht="4.5" customHeight="1" x14ac:dyDescent="0.35">
      <c r="B3" s="6"/>
      <c r="C3" s="4"/>
      <c r="D3" s="4"/>
      <c r="E3" s="4"/>
      <c r="F3" s="4"/>
      <c r="G3" s="4"/>
      <c r="H3" s="4"/>
      <c r="I3" s="4"/>
      <c r="J3" s="4"/>
    </row>
    <row r="4" spans="2:20" ht="3.75" customHeight="1" thickBot="1" x14ac:dyDescent="0.4"/>
    <row r="5" spans="2:20" x14ac:dyDescent="0.35">
      <c r="B5" s="7" t="s">
        <v>1</v>
      </c>
      <c r="C5" s="8"/>
      <c r="D5" s="9" t="s">
        <v>18</v>
      </c>
      <c r="E5" s="9" t="s">
        <v>2</v>
      </c>
      <c r="F5" s="9" t="s">
        <v>2</v>
      </c>
      <c r="G5" s="9" t="s">
        <v>17</v>
      </c>
      <c r="H5" s="10" t="s">
        <v>3</v>
      </c>
      <c r="I5" s="11"/>
      <c r="J5" s="10" t="s">
        <v>16</v>
      </c>
      <c r="K5" s="12"/>
      <c r="L5" s="216" t="s">
        <v>37</v>
      </c>
      <c r="M5" s="217"/>
      <c r="N5" s="217"/>
      <c r="O5" s="217"/>
      <c r="P5" s="217"/>
      <c r="Q5" s="218"/>
      <c r="R5" s="5"/>
      <c r="S5" s="5"/>
      <c r="T5" s="5"/>
    </row>
    <row r="6" spans="2:20" ht="15.75" customHeight="1" thickBot="1" x14ac:dyDescent="0.4">
      <c r="B6" s="13" t="s">
        <v>4</v>
      </c>
      <c r="C6" s="14"/>
      <c r="D6" s="15"/>
      <c r="E6" s="15" t="s">
        <v>15</v>
      </c>
      <c r="F6" s="15" t="s">
        <v>14</v>
      </c>
      <c r="G6" s="15" t="s">
        <v>13</v>
      </c>
      <c r="H6" s="16"/>
      <c r="I6" s="17"/>
      <c r="J6" s="16" t="s">
        <v>5</v>
      </c>
      <c r="K6" s="12"/>
      <c r="Q6" s="5"/>
      <c r="R6" s="5"/>
      <c r="S6" s="5"/>
      <c r="T6" s="5"/>
    </row>
    <row r="7" spans="2:20" ht="3.75" customHeight="1" thickBot="1" x14ac:dyDescent="0.4">
      <c r="B7" s="18"/>
      <c r="C7" s="19"/>
      <c r="D7" s="20"/>
      <c r="E7" s="19"/>
      <c r="F7" s="19"/>
      <c r="G7" s="19"/>
      <c r="H7" s="21"/>
      <c r="J7" s="22"/>
      <c r="L7" s="5"/>
      <c r="M7" s="5"/>
      <c r="N7" s="5"/>
      <c r="O7" s="5"/>
      <c r="P7" s="5"/>
      <c r="Q7" s="5"/>
      <c r="R7" s="5"/>
      <c r="S7" s="5"/>
      <c r="T7" s="5"/>
    </row>
    <row r="8" spans="2:20" ht="15" thickBot="1" x14ac:dyDescent="0.4">
      <c r="B8" s="23" t="s">
        <v>41</v>
      </c>
      <c r="C8" s="81"/>
      <c r="D8" s="2">
        <v>30000</v>
      </c>
      <c r="E8" s="82"/>
      <c r="H8" s="22"/>
      <c r="J8" s="22"/>
      <c r="K8" s="24"/>
      <c r="L8" s="216" t="s">
        <v>26</v>
      </c>
      <c r="M8" s="217"/>
      <c r="N8" s="217"/>
      <c r="O8" s="217"/>
      <c r="P8" s="217"/>
      <c r="Q8" s="218"/>
    </row>
    <row r="9" spans="2:20" ht="3.75" customHeight="1" thickBot="1" x14ac:dyDescent="0.4">
      <c r="B9" s="31"/>
      <c r="D9" s="20"/>
      <c r="H9" s="22"/>
      <c r="J9" s="22"/>
      <c r="L9" s="5"/>
      <c r="M9" s="5"/>
      <c r="N9" s="5"/>
      <c r="O9" s="5"/>
      <c r="P9" s="5"/>
      <c r="Q9" s="5"/>
      <c r="R9" s="5"/>
      <c r="S9" s="5"/>
      <c r="T9" s="5"/>
    </row>
    <row r="10" spans="2:20" ht="15" thickBot="1" x14ac:dyDescent="0.4">
      <c r="B10" s="23" t="s">
        <v>12</v>
      </c>
      <c r="D10" s="26">
        <v>0.25</v>
      </c>
      <c r="H10" s="22"/>
      <c r="J10" s="22"/>
      <c r="K10" s="24"/>
    </row>
    <row r="11" spans="2:20" ht="9" customHeight="1" x14ac:dyDescent="0.35">
      <c r="B11" s="23"/>
      <c r="H11" s="22"/>
      <c r="J11" s="22"/>
      <c r="K11" s="24"/>
      <c r="L11" s="25"/>
      <c r="M11" s="25"/>
      <c r="N11" s="25"/>
      <c r="O11" s="25"/>
      <c r="P11" s="25"/>
    </row>
    <row r="12" spans="2:20" ht="15.75" hidden="1" customHeight="1" thickBot="1" x14ac:dyDescent="0.4">
      <c r="B12" s="23" t="s">
        <v>29</v>
      </c>
      <c r="D12" s="28" t="s">
        <v>31</v>
      </c>
      <c r="H12" s="22"/>
      <c r="J12" s="22"/>
      <c r="K12" s="24"/>
      <c r="L12" s="216" t="s">
        <v>32</v>
      </c>
      <c r="M12" s="217"/>
      <c r="N12" s="217"/>
      <c r="O12" s="217"/>
      <c r="P12" s="217"/>
      <c r="Q12" s="218"/>
      <c r="R12" s="29"/>
      <c r="S12" s="30"/>
      <c r="T12" s="30"/>
    </row>
    <row r="13" spans="2:20" ht="15.75" customHeight="1" x14ac:dyDescent="0.35">
      <c r="B13" s="31"/>
      <c r="D13" s="5" t="s">
        <v>40</v>
      </c>
      <c r="H13" s="22"/>
      <c r="J13" s="22"/>
      <c r="K13" s="24"/>
      <c r="L13" s="5" t="s">
        <v>6</v>
      </c>
      <c r="P13" s="29"/>
      <c r="Q13" s="29"/>
      <c r="R13" s="29"/>
      <c r="S13" s="30"/>
      <c r="T13" s="30"/>
    </row>
    <row r="14" spans="2:20" x14ac:dyDescent="0.35">
      <c r="B14" s="32" t="s">
        <v>19</v>
      </c>
      <c r="D14" s="33">
        <f>ROUND($D$8/12,2)</f>
        <v>2500</v>
      </c>
      <c r="E14" s="1">
        <v>20000</v>
      </c>
      <c r="F14" s="1"/>
      <c r="G14" s="34">
        <f t="shared" ref="G14:G19" si="0">SUM(E14:F14)</f>
        <v>20000</v>
      </c>
      <c r="H14" s="35">
        <f t="shared" ref="H14:H19" si="1">IF((E14+F14)*$D$10-D14&lt;0,0,(E14+F14)*$D$10-D14)</f>
        <v>2500</v>
      </c>
      <c r="I14" s="36"/>
      <c r="J14" s="37" t="str">
        <f>B15</f>
        <v>Month2</v>
      </c>
      <c r="K14" s="36"/>
      <c r="L14" s="38" t="s">
        <v>11</v>
      </c>
      <c r="M14" s="39"/>
      <c r="N14" s="40"/>
      <c r="O14" s="41" t="s">
        <v>7</v>
      </c>
      <c r="P14" s="29"/>
      <c r="Q14" s="29"/>
      <c r="R14" s="29"/>
      <c r="S14" s="30"/>
      <c r="T14" s="42">
        <v>0.25</v>
      </c>
    </row>
    <row r="15" spans="2:20" x14ac:dyDescent="0.35">
      <c r="B15" s="32" t="s">
        <v>20</v>
      </c>
      <c r="D15" s="33">
        <f t="shared" ref="D15:D19" si="2">ROUND($D$8/12,2)</f>
        <v>2500</v>
      </c>
      <c r="E15" s="1">
        <v>20000</v>
      </c>
      <c r="F15" s="1"/>
      <c r="G15" s="34">
        <f t="shared" si="0"/>
        <v>20000</v>
      </c>
      <c r="H15" s="35">
        <f t="shared" si="1"/>
        <v>2500</v>
      </c>
      <c r="I15" s="36"/>
      <c r="J15" s="37" t="str">
        <f>B16</f>
        <v>Month3</v>
      </c>
      <c r="K15" s="24"/>
      <c r="L15" s="43"/>
      <c r="M15" s="44"/>
      <c r="N15" s="44"/>
      <c r="O15" s="45"/>
      <c r="P15" s="29"/>
      <c r="Q15" s="29"/>
      <c r="R15" s="29"/>
      <c r="S15" s="30"/>
      <c r="T15" s="42">
        <v>0.3</v>
      </c>
    </row>
    <row r="16" spans="2:20" x14ac:dyDescent="0.35">
      <c r="B16" s="32" t="s">
        <v>21</v>
      </c>
      <c r="D16" s="33">
        <f t="shared" si="2"/>
        <v>2500</v>
      </c>
      <c r="E16" s="1">
        <v>20000</v>
      </c>
      <c r="F16" s="1"/>
      <c r="G16" s="34">
        <f t="shared" si="0"/>
        <v>20000</v>
      </c>
      <c r="H16" s="35">
        <f t="shared" si="1"/>
        <v>2500</v>
      </c>
      <c r="I16" s="36"/>
      <c r="J16" s="37" t="str">
        <f>B17</f>
        <v>Month4</v>
      </c>
      <c r="K16" s="24"/>
      <c r="L16" s="46">
        <v>0.01</v>
      </c>
      <c r="M16" s="47" t="s">
        <v>8</v>
      </c>
      <c r="N16" s="48">
        <v>100000</v>
      </c>
      <c r="O16" s="49">
        <v>0.25</v>
      </c>
      <c r="P16" s="29"/>
      <c r="Q16" s="29"/>
      <c r="R16" s="29"/>
      <c r="S16" s="30"/>
      <c r="T16" s="42">
        <v>0.35</v>
      </c>
    </row>
    <row r="17" spans="2:20" x14ac:dyDescent="0.35">
      <c r="B17" s="32" t="s">
        <v>22</v>
      </c>
      <c r="D17" s="33">
        <f t="shared" si="2"/>
        <v>2500</v>
      </c>
      <c r="E17" s="1">
        <v>20000</v>
      </c>
      <c r="F17" s="1"/>
      <c r="G17" s="34">
        <f t="shared" si="0"/>
        <v>20000</v>
      </c>
      <c r="H17" s="35">
        <f t="shared" si="1"/>
        <v>2500</v>
      </c>
      <c r="I17" s="36"/>
      <c r="J17" s="37" t="str">
        <f>B18</f>
        <v>Month5</v>
      </c>
      <c r="K17" s="24"/>
      <c r="L17" s="46">
        <f>N16+0.01</f>
        <v>100000.01</v>
      </c>
      <c r="M17" s="47" t="s">
        <v>8</v>
      </c>
      <c r="N17" s="48">
        <v>150000</v>
      </c>
      <c r="O17" s="49">
        <v>0.3</v>
      </c>
      <c r="S17" s="30"/>
      <c r="T17" s="30"/>
    </row>
    <row r="18" spans="2:20" x14ac:dyDescent="0.35">
      <c r="B18" s="32" t="s">
        <v>23</v>
      </c>
      <c r="D18" s="33">
        <f t="shared" si="2"/>
        <v>2500</v>
      </c>
      <c r="E18" s="1">
        <v>20000</v>
      </c>
      <c r="F18" s="1"/>
      <c r="G18" s="34">
        <f t="shared" si="0"/>
        <v>20000</v>
      </c>
      <c r="H18" s="35">
        <f t="shared" si="1"/>
        <v>2500</v>
      </c>
      <c r="I18" s="36"/>
      <c r="J18" s="37" t="str">
        <f>B19</f>
        <v>Month6</v>
      </c>
      <c r="K18" s="24"/>
      <c r="L18" s="46">
        <f>N17+0.01</f>
        <v>150000.01</v>
      </c>
      <c r="M18" s="47" t="s">
        <v>8</v>
      </c>
      <c r="N18" s="48">
        <v>200000</v>
      </c>
      <c r="O18" s="49">
        <v>0.35</v>
      </c>
      <c r="T18" s="50" t="s">
        <v>31</v>
      </c>
    </row>
    <row r="19" spans="2:20" x14ac:dyDescent="0.35">
      <c r="B19" s="32" t="s">
        <v>24</v>
      </c>
      <c r="D19" s="33">
        <f t="shared" si="2"/>
        <v>2500</v>
      </c>
      <c r="E19" s="1">
        <v>20000</v>
      </c>
      <c r="F19" s="1"/>
      <c r="G19" s="34">
        <f t="shared" si="0"/>
        <v>20000</v>
      </c>
      <c r="H19" s="35">
        <f t="shared" si="1"/>
        <v>2500</v>
      </c>
      <c r="I19" s="36"/>
      <c r="J19" s="37" t="s">
        <v>25</v>
      </c>
      <c r="L19" s="51"/>
      <c r="M19" s="47" t="s">
        <v>9</v>
      </c>
      <c r="N19" s="48">
        <f>N18+0.01</f>
        <v>200000.01</v>
      </c>
      <c r="O19" s="49">
        <v>0.4</v>
      </c>
      <c r="S19" s="30"/>
      <c r="T19" s="50" t="s">
        <v>30</v>
      </c>
    </row>
    <row r="20" spans="2:20" ht="3.75" customHeight="1" x14ac:dyDescent="0.35">
      <c r="B20" s="52"/>
      <c r="C20" s="53"/>
      <c r="D20" s="53"/>
      <c r="E20" s="53"/>
      <c r="F20" s="53"/>
      <c r="G20" s="53"/>
      <c r="H20" s="54"/>
      <c r="I20" s="36"/>
      <c r="J20" s="55"/>
      <c r="S20" s="30"/>
      <c r="T20" s="30"/>
    </row>
    <row r="21" spans="2:20" x14ac:dyDescent="0.35">
      <c r="B21" s="83"/>
      <c r="D21" s="33">
        <f>SUM(D14:D20)</f>
        <v>15000</v>
      </c>
      <c r="E21" s="56">
        <f>SUM(E14:E20)</f>
        <v>120000</v>
      </c>
      <c r="F21" s="56">
        <f>SUM(F14:F20)</f>
        <v>0</v>
      </c>
      <c r="G21" s="56">
        <f>SUM(G14:G20)</f>
        <v>120000</v>
      </c>
      <c r="H21" s="35">
        <f>SUM(H14:H19)</f>
        <v>15000</v>
      </c>
      <c r="I21" s="36"/>
      <c r="J21" s="22"/>
      <c r="S21" s="30"/>
      <c r="T21" s="30"/>
    </row>
    <row r="22" spans="2:20" ht="4.5" customHeight="1" x14ac:dyDescent="0.35">
      <c r="B22" s="31"/>
      <c r="H22" s="22"/>
      <c r="J22" s="22"/>
      <c r="S22" s="30"/>
      <c r="T22" s="30"/>
    </row>
    <row r="23" spans="2:20" x14ac:dyDescent="0.35">
      <c r="B23" s="32"/>
      <c r="D23" s="5" t="s">
        <v>34</v>
      </c>
      <c r="H23" s="35">
        <f>IF((E21+F21)*H40-D21-H21&lt;0,0,(E21+F21)*H40-D21-H21)</f>
        <v>6000</v>
      </c>
      <c r="I23" s="36"/>
      <c r="J23" s="57"/>
      <c r="S23" s="30"/>
      <c r="T23" s="30"/>
    </row>
    <row r="24" spans="2:20" ht="4.5" customHeight="1" x14ac:dyDescent="0.35">
      <c r="B24" s="31"/>
      <c r="H24" s="22"/>
      <c r="J24" s="22"/>
      <c r="S24" s="30"/>
      <c r="T24" s="30"/>
    </row>
    <row r="25" spans="2:20" ht="15" customHeight="1" x14ac:dyDescent="0.35">
      <c r="B25" s="32"/>
      <c r="D25" s="58" t="s">
        <v>27</v>
      </c>
      <c r="F25" s="59"/>
      <c r="G25" s="60">
        <v>4</v>
      </c>
      <c r="H25" s="61">
        <f>-IF(G25+G26&lt;10,IF(G25&lt;5,$H$23*0.5,0),0)</f>
        <v>0</v>
      </c>
      <c r="I25" s="36"/>
      <c r="J25" s="57"/>
    </row>
    <row r="26" spans="2:20" x14ac:dyDescent="0.35">
      <c r="B26" s="32"/>
      <c r="D26" s="58" t="s">
        <v>28</v>
      </c>
      <c r="F26" s="59"/>
      <c r="G26" s="60">
        <v>6</v>
      </c>
      <c r="H26" s="62">
        <f>-IF(G25+G26&lt;10,IF(G26&lt;5,$H$23*0.5,0),0)</f>
        <v>0</v>
      </c>
      <c r="I26" s="36"/>
      <c r="J26" s="57"/>
    </row>
    <row r="27" spans="2:20" ht="15" thickBot="1" x14ac:dyDescent="0.4">
      <c r="B27" s="32"/>
      <c r="D27" s="58" t="s">
        <v>39</v>
      </c>
      <c r="E27" s="63"/>
      <c r="F27" s="63"/>
      <c r="G27" s="63"/>
      <c r="H27" s="61">
        <f>SUM(H23:H26)</f>
        <v>6000</v>
      </c>
      <c r="I27" s="36"/>
      <c r="J27" s="37" t="s">
        <v>38</v>
      </c>
    </row>
    <row r="28" spans="2:20" ht="9" customHeight="1" x14ac:dyDescent="0.35">
      <c r="B28" s="32"/>
      <c r="D28" s="27"/>
      <c r="E28" s="63"/>
      <c r="F28" s="63"/>
      <c r="G28" s="63"/>
      <c r="H28" s="64"/>
      <c r="I28" s="36"/>
      <c r="J28" s="57"/>
      <c r="L28" s="219" t="s">
        <v>35</v>
      </c>
      <c r="M28" s="220"/>
      <c r="N28" s="220"/>
      <c r="O28" s="220"/>
      <c r="P28" s="220"/>
      <c r="Q28" s="221"/>
    </row>
    <row r="29" spans="2:20" ht="3.75" customHeight="1" thickBot="1" x14ac:dyDescent="0.4">
      <c r="B29" s="65"/>
      <c r="C29" s="53"/>
      <c r="D29" s="53"/>
      <c r="E29" s="53"/>
      <c r="F29" s="53"/>
      <c r="G29" s="53"/>
      <c r="H29" s="22"/>
      <c r="J29" s="22"/>
      <c r="L29" s="222"/>
      <c r="M29" s="223"/>
      <c r="N29" s="223"/>
      <c r="O29" s="223"/>
      <c r="P29" s="223"/>
      <c r="Q29" s="224"/>
    </row>
    <row r="30" spans="2:20" ht="19" thickBot="1" x14ac:dyDescent="0.5">
      <c r="B30" s="66"/>
      <c r="C30" s="67"/>
      <c r="D30" s="68" t="s">
        <v>36</v>
      </c>
      <c r="E30" s="67"/>
      <c r="F30" s="67"/>
      <c r="G30" s="67"/>
      <c r="H30" s="69">
        <f>+H21+H27+(D8/2)</f>
        <v>36000</v>
      </c>
      <c r="I30" s="36"/>
      <c r="J30" s="22"/>
      <c r="K30" s="36"/>
      <c r="L30" s="222"/>
      <c r="M30" s="223"/>
      <c r="N30" s="223"/>
      <c r="O30" s="223"/>
      <c r="P30" s="223"/>
      <c r="Q30" s="224"/>
    </row>
    <row r="31" spans="2:20" ht="16" thickBot="1" x14ac:dyDescent="0.4">
      <c r="B31" s="70"/>
      <c r="C31" s="67"/>
      <c r="D31" s="67"/>
      <c r="E31" s="67"/>
      <c r="F31" s="67"/>
      <c r="G31" s="67"/>
      <c r="H31" s="71">
        <f>IFERROR(H30/(E21+F21),0)</f>
        <v>0.3</v>
      </c>
      <c r="I31" s="67"/>
      <c r="J31" s="72"/>
      <c r="L31" s="225"/>
      <c r="M31" s="226"/>
      <c r="N31" s="226"/>
      <c r="O31" s="226"/>
      <c r="P31" s="226"/>
      <c r="Q31" s="227"/>
    </row>
    <row r="32" spans="2:20" ht="15" thickBot="1" x14ac:dyDescent="0.4">
      <c r="B32" s="202"/>
      <c r="C32" s="202"/>
      <c r="D32" s="202"/>
      <c r="E32" s="202"/>
      <c r="F32" s="202"/>
      <c r="G32" s="202"/>
      <c r="H32" s="202"/>
      <c r="I32" s="202"/>
      <c r="J32" s="202"/>
      <c r="L32" s="203"/>
      <c r="M32" s="203"/>
      <c r="N32" s="203"/>
      <c r="O32" s="203"/>
      <c r="P32" s="203"/>
      <c r="Q32" s="203"/>
      <c r="R32" s="203"/>
    </row>
    <row r="33" spans="2:20" hidden="1" x14ac:dyDescent="0.35">
      <c r="B33" s="73"/>
      <c r="H33" s="77"/>
      <c r="I33" s="73"/>
      <c r="J33" s="77"/>
      <c r="L33" s="203"/>
      <c r="M33" s="203"/>
      <c r="N33" s="203"/>
      <c r="O33" s="203"/>
      <c r="P33" s="203"/>
      <c r="Q33" s="203"/>
      <c r="R33" s="203"/>
    </row>
    <row r="34" spans="2:20" hidden="1" x14ac:dyDescent="0.35">
      <c r="B34" s="73"/>
      <c r="D34" s="74">
        <f>L16</f>
        <v>0.01</v>
      </c>
      <c r="E34" s="74">
        <f>N16</f>
        <v>100000</v>
      </c>
      <c r="F34" s="74"/>
      <c r="G34" s="74"/>
      <c r="H34" s="75">
        <f>O16</f>
        <v>0.25</v>
      </c>
      <c r="I34" s="76"/>
      <c r="J34" s="77">
        <f>IF(E21&gt;=D34,IF(E21&lt;=E34,1,0))</f>
        <v>0</v>
      </c>
      <c r="L34" s="203"/>
      <c r="M34" s="203"/>
      <c r="N34" s="203"/>
      <c r="O34" s="203"/>
      <c r="P34" s="203"/>
      <c r="Q34" s="203"/>
      <c r="R34" s="203"/>
    </row>
    <row r="35" spans="2:20" hidden="1" x14ac:dyDescent="0.35">
      <c r="B35" s="73"/>
      <c r="D35" s="74">
        <f>L17</f>
        <v>100000.01</v>
      </c>
      <c r="E35" s="74">
        <f>N17</f>
        <v>150000</v>
      </c>
      <c r="F35" s="74"/>
      <c r="G35" s="74"/>
      <c r="H35" s="75">
        <f>IF($D$12="YES",O17+2.5%,O17)</f>
        <v>0.3</v>
      </c>
      <c r="I35" s="76"/>
      <c r="J35" s="77">
        <f>IF(E21&gt;=D35,IF(E21&lt;=E35,1,0))</f>
        <v>1</v>
      </c>
      <c r="L35" s="203"/>
      <c r="M35" s="203"/>
      <c r="N35" s="203"/>
      <c r="O35" s="203"/>
      <c r="P35" s="203"/>
      <c r="Q35" s="203"/>
      <c r="R35" s="203"/>
    </row>
    <row r="36" spans="2:20" hidden="1" x14ac:dyDescent="0.35">
      <c r="B36" s="73"/>
      <c r="D36" s="74">
        <f>L18</f>
        <v>150000.01</v>
      </c>
      <c r="E36" s="74">
        <f>N18</f>
        <v>200000</v>
      </c>
      <c r="F36" s="74"/>
      <c r="G36" s="74"/>
      <c r="H36" s="75">
        <f>IF($D$12="YES",O18+2.5%,O18)</f>
        <v>0.35</v>
      </c>
      <c r="I36" s="76"/>
      <c r="J36" s="77" t="b">
        <f>IF(E21&gt;=D36,IF(E21&lt;=E36,1,0))</f>
        <v>0</v>
      </c>
      <c r="L36" s="203"/>
      <c r="M36" s="203"/>
      <c r="N36" s="203"/>
      <c r="O36" s="203"/>
      <c r="P36" s="203"/>
      <c r="Q36" s="203"/>
      <c r="R36" s="203"/>
    </row>
    <row r="37" spans="2:20" hidden="1" x14ac:dyDescent="0.35">
      <c r="B37" s="73"/>
      <c r="D37" s="74">
        <f>E36</f>
        <v>200000</v>
      </c>
      <c r="E37" s="74">
        <v>9000000</v>
      </c>
      <c r="F37" s="74"/>
      <c r="G37" s="74"/>
      <c r="H37" s="75">
        <f>IF($D$12="YES",O19+2.5%,O19)</f>
        <v>0.4</v>
      </c>
      <c r="I37" s="76"/>
      <c r="J37" s="77" t="b">
        <f>IF(E21&gt;=D37,IF(E21&lt;=E37,1,0))</f>
        <v>0</v>
      </c>
      <c r="L37" s="203"/>
      <c r="M37" s="203"/>
      <c r="N37" s="203"/>
      <c r="O37" s="203"/>
      <c r="P37" s="203"/>
      <c r="Q37" s="203"/>
      <c r="R37" s="203"/>
    </row>
    <row r="38" spans="2:20" hidden="1" x14ac:dyDescent="0.35">
      <c r="B38" s="78"/>
      <c r="C38" s="53"/>
      <c r="D38" s="53"/>
      <c r="E38" s="53"/>
      <c r="F38" s="53"/>
      <c r="G38" s="53"/>
      <c r="H38" s="79"/>
      <c r="I38" s="78"/>
      <c r="J38" s="79"/>
      <c r="L38" s="203"/>
      <c r="M38" s="203"/>
      <c r="N38" s="203"/>
      <c r="O38" s="203"/>
      <c r="P38" s="203"/>
      <c r="Q38" s="203"/>
      <c r="R38" s="203"/>
    </row>
    <row r="39" spans="2:20" hidden="1" x14ac:dyDescent="0.35">
      <c r="B39" s="43"/>
      <c r="C39" s="44"/>
      <c r="D39" s="44"/>
      <c r="E39" s="44"/>
      <c r="F39" s="44"/>
      <c r="G39" s="44"/>
      <c r="H39" s="45"/>
      <c r="I39" s="73"/>
      <c r="J39" s="77"/>
      <c r="L39" s="203"/>
      <c r="M39" s="203"/>
      <c r="N39" s="203"/>
      <c r="O39" s="203"/>
      <c r="P39" s="203"/>
      <c r="Q39" s="203"/>
      <c r="R39" s="203"/>
    </row>
    <row r="40" spans="2:20" hidden="1" x14ac:dyDescent="0.35">
      <c r="B40" s="73"/>
      <c r="E40" t="s">
        <v>10</v>
      </c>
      <c r="H40" s="75">
        <f>IF(J34=1,H34,IF(J35=1,H35,IF(J36=1,H36,IF(J37=1,H37))))</f>
        <v>0.3</v>
      </c>
      <c r="I40" s="76"/>
      <c r="J40" s="77"/>
      <c r="L40" s="203"/>
      <c r="M40" s="203"/>
      <c r="N40" s="203"/>
      <c r="O40" s="203"/>
      <c r="P40" s="203"/>
      <c r="Q40" s="203"/>
      <c r="R40" s="203"/>
    </row>
    <row r="41" spans="2:20" hidden="1" x14ac:dyDescent="0.35">
      <c r="B41" s="78"/>
      <c r="C41" s="53"/>
      <c r="D41" s="53"/>
      <c r="E41" s="53"/>
      <c r="F41" s="53"/>
      <c r="G41" s="53"/>
      <c r="H41" s="79"/>
      <c r="I41" s="78"/>
      <c r="J41" s="79"/>
      <c r="L41" s="203"/>
      <c r="M41" s="203"/>
      <c r="N41" s="203"/>
      <c r="O41" s="203"/>
      <c r="P41" s="203"/>
      <c r="Q41" s="203"/>
      <c r="R41" s="203"/>
    </row>
    <row r="42" spans="2:20" x14ac:dyDescent="0.35">
      <c r="B42" s="32" t="s">
        <v>25</v>
      </c>
      <c r="D42" s="33">
        <f>ROUND($D$8/12,2)</f>
        <v>2500</v>
      </c>
      <c r="E42" s="1">
        <v>20000</v>
      </c>
      <c r="F42" s="1"/>
      <c r="G42" s="34">
        <f t="shared" ref="G42:G47" si="3">SUM(E42:F42)</f>
        <v>20000</v>
      </c>
      <c r="H42" s="35">
        <f t="shared" ref="H42:H47" si="4">IF((E42+F42)*$D$10-D42&lt;0,0,(E42+F42)*$D$10-D42)</f>
        <v>2500</v>
      </c>
      <c r="I42" s="36"/>
      <c r="J42" s="37" t="str">
        <f>B43</f>
        <v>Month8</v>
      </c>
      <c r="K42" s="36"/>
      <c r="L42" s="204" t="s">
        <v>11</v>
      </c>
      <c r="M42" s="204"/>
      <c r="N42" s="204"/>
      <c r="O42" s="204" t="s">
        <v>7</v>
      </c>
      <c r="P42" s="205"/>
      <c r="Q42" s="205"/>
      <c r="R42" s="205"/>
      <c r="S42" s="30"/>
      <c r="T42" s="42">
        <v>0.25</v>
      </c>
    </row>
    <row r="43" spans="2:20" x14ac:dyDescent="0.35">
      <c r="B43" s="32" t="s">
        <v>81</v>
      </c>
      <c r="D43" s="33">
        <f t="shared" ref="D43:D47" si="5">ROUND($D$8/12,2)</f>
        <v>2500</v>
      </c>
      <c r="E43" s="1">
        <v>20000</v>
      </c>
      <c r="F43" s="1"/>
      <c r="G43" s="34">
        <f t="shared" si="3"/>
        <v>20000</v>
      </c>
      <c r="H43" s="35">
        <f t="shared" si="4"/>
        <v>2500</v>
      </c>
      <c r="I43" s="36"/>
      <c r="J43" s="37" t="str">
        <f>B44</f>
        <v>Month9</v>
      </c>
      <c r="K43" s="24"/>
      <c r="L43" s="203"/>
      <c r="M43" s="203"/>
      <c r="N43" s="203"/>
      <c r="O43" s="203"/>
      <c r="P43" s="205"/>
      <c r="Q43" s="205"/>
      <c r="R43" s="205"/>
      <c r="S43" s="30"/>
      <c r="T43" s="42">
        <v>0.3</v>
      </c>
    </row>
    <row r="44" spans="2:20" x14ac:dyDescent="0.35">
      <c r="B44" s="32" t="s">
        <v>82</v>
      </c>
      <c r="D44" s="33">
        <f t="shared" si="5"/>
        <v>2500</v>
      </c>
      <c r="E44" s="1">
        <v>20000</v>
      </c>
      <c r="F44" s="1"/>
      <c r="G44" s="34">
        <f t="shared" si="3"/>
        <v>20000</v>
      </c>
      <c r="H44" s="35">
        <f t="shared" si="4"/>
        <v>2500</v>
      </c>
      <c r="I44" s="36"/>
      <c r="J44" s="37" t="str">
        <f>B45</f>
        <v>Month10</v>
      </c>
      <c r="K44" s="24"/>
      <c r="L44" s="175">
        <v>0.01</v>
      </c>
      <c r="M44" s="174" t="s">
        <v>8</v>
      </c>
      <c r="N44" s="175">
        <v>100000</v>
      </c>
      <c r="O44" s="176">
        <v>0.25</v>
      </c>
      <c r="P44" s="205"/>
      <c r="Q44" s="205"/>
      <c r="R44" s="205"/>
      <c r="S44" s="30"/>
      <c r="T44" s="42">
        <v>0.35</v>
      </c>
    </row>
    <row r="45" spans="2:20" x14ac:dyDescent="0.35">
      <c r="B45" s="32" t="s">
        <v>83</v>
      </c>
      <c r="D45" s="33">
        <f t="shared" si="5"/>
        <v>2500</v>
      </c>
      <c r="E45" s="1">
        <v>20000</v>
      </c>
      <c r="F45" s="1"/>
      <c r="G45" s="34">
        <f t="shared" si="3"/>
        <v>20000</v>
      </c>
      <c r="H45" s="35">
        <f t="shared" si="4"/>
        <v>2500</v>
      </c>
      <c r="I45" s="36"/>
      <c r="J45" s="37" t="str">
        <f>B46</f>
        <v>Month11</v>
      </c>
      <c r="K45" s="24"/>
      <c r="L45" s="175">
        <f>N44+0.01</f>
        <v>100000.01</v>
      </c>
      <c r="M45" s="174" t="s">
        <v>8</v>
      </c>
      <c r="N45" s="175">
        <v>150000</v>
      </c>
      <c r="O45" s="176">
        <v>0.3</v>
      </c>
      <c r="P45" s="203"/>
      <c r="Q45" s="203"/>
      <c r="R45" s="203"/>
      <c r="S45" s="30"/>
      <c r="T45" s="30"/>
    </row>
    <row r="46" spans="2:20" x14ac:dyDescent="0.35">
      <c r="B46" s="32" t="s">
        <v>84</v>
      </c>
      <c r="D46" s="33">
        <f t="shared" si="5"/>
        <v>2500</v>
      </c>
      <c r="E46" s="1">
        <v>20000</v>
      </c>
      <c r="F46" s="1"/>
      <c r="G46" s="34">
        <f t="shared" si="3"/>
        <v>20000</v>
      </c>
      <c r="H46" s="35">
        <f t="shared" si="4"/>
        <v>2500</v>
      </c>
      <c r="I46" s="36"/>
      <c r="J46" s="37" t="str">
        <f>B47</f>
        <v>Month12</v>
      </c>
      <c r="K46" s="24"/>
      <c r="L46" s="175">
        <f>N45+0.01</f>
        <v>150000.01</v>
      </c>
      <c r="M46" s="174" t="s">
        <v>8</v>
      </c>
      <c r="N46" s="175">
        <v>200000</v>
      </c>
      <c r="O46" s="176">
        <v>0.35</v>
      </c>
      <c r="P46" s="203"/>
      <c r="Q46" s="203"/>
      <c r="R46" s="203"/>
      <c r="T46" s="50" t="s">
        <v>31</v>
      </c>
    </row>
    <row r="47" spans="2:20" x14ac:dyDescent="0.35">
      <c r="B47" s="32" t="s">
        <v>85</v>
      </c>
      <c r="D47" s="33">
        <f t="shared" si="5"/>
        <v>2500</v>
      </c>
      <c r="E47" s="1">
        <v>20000</v>
      </c>
      <c r="F47" s="1"/>
      <c r="G47" s="34">
        <f t="shared" si="3"/>
        <v>20000</v>
      </c>
      <c r="H47" s="35">
        <f t="shared" si="4"/>
        <v>2500</v>
      </c>
      <c r="I47" s="36"/>
      <c r="J47" s="37" t="s">
        <v>86</v>
      </c>
      <c r="L47" s="203"/>
      <c r="M47" s="174" t="s">
        <v>9</v>
      </c>
      <c r="N47" s="175">
        <f>N46+0.01</f>
        <v>200000.01</v>
      </c>
      <c r="O47" s="176">
        <v>0.4</v>
      </c>
      <c r="P47" s="203"/>
      <c r="Q47" s="203"/>
      <c r="R47" s="203"/>
      <c r="S47" s="30"/>
      <c r="T47" s="50" t="s">
        <v>30</v>
      </c>
    </row>
    <row r="48" spans="2:20" ht="3.75" customHeight="1" x14ac:dyDescent="0.35">
      <c r="B48" s="52"/>
      <c r="C48" s="53"/>
      <c r="D48" s="53"/>
      <c r="E48" s="53"/>
      <c r="F48" s="53"/>
      <c r="G48" s="53"/>
      <c r="H48" s="54"/>
      <c r="I48" s="36"/>
      <c r="J48" s="55"/>
      <c r="L48" s="203"/>
      <c r="M48" s="203"/>
      <c r="N48" s="203"/>
      <c r="O48" s="203"/>
      <c r="P48" s="203"/>
      <c r="Q48" s="203"/>
      <c r="R48" s="203"/>
      <c r="S48" s="30"/>
      <c r="T48" s="30"/>
    </row>
    <row r="49" spans="2:20" x14ac:dyDescent="0.35">
      <c r="B49" s="83"/>
      <c r="D49" s="33">
        <f>SUM(D42:D48)</f>
        <v>15000</v>
      </c>
      <c r="E49" s="56">
        <f>SUM(E42:E48)</f>
        <v>120000</v>
      </c>
      <c r="F49" s="56">
        <f>SUM(F42:F48)</f>
        <v>0</v>
      </c>
      <c r="G49" s="56">
        <f>SUM(G42:G48)</f>
        <v>120000</v>
      </c>
      <c r="H49" s="35">
        <f>SUM(H42:H47)</f>
        <v>15000</v>
      </c>
      <c r="I49" s="36"/>
      <c r="J49" s="22"/>
      <c r="L49" s="203"/>
      <c r="M49" s="203"/>
      <c r="N49" s="203"/>
      <c r="O49" s="203"/>
      <c r="P49" s="203"/>
      <c r="Q49" s="203"/>
      <c r="R49" s="203"/>
      <c r="S49" s="30"/>
      <c r="T49" s="30"/>
    </row>
    <row r="50" spans="2:20" ht="4.5" customHeight="1" x14ac:dyDescent="0.35">
      <c r="B50" s="31"/>
      <c r="H50" s="22"/>
      <c r="J50" s="22"/>
      <c r="L50" s="203"/>
      <c r="M50" s="203"/>
      <c r="N50" s="203"/>
      <c r="O50" s="203"/>
      <c r="P50" s="203"/>
      <c r="Q50" s="203"/>
      <c r="R50" s="203"/>
      <c r="S50" s="30"/>
      <c r="T50" s="30"/>
    </row>
    <row r="51" spans="2:20" x14ac:dyDescent="0.35">
      <c r="B51" s="32"/>
      <c r="D51" s="5" t="s">
        <v>34</v>
      </c>
      <c r="H51" s="35">
        <f>IF((E49+F49)*H68-D49-H49&lt;0,0,(E49+F49)*H68-D49-H49)</f>
        <v>6000</v>
      </c>
      <c r="I51" s="36"/>
      <c r="J51" s="57"/>
      <c r="L51" s="203"/>
      <c r="M51" s="203"/>
      <c r="N51" s="203"/>
      <c r="O51" s="203"/>
      <c r="P51" s="203"/>
      <c r="Q51" s="203"/>
      <c r="R51" s="203"/>
      <c r="S51" s="30"/>
      <c r="T51" s="30"/>
    </row>
    <row r="52" spans="2:20" ht="4.5" customHeight="1" x14ac:dyDescent="0.35">
      <c r="B52" s="31"/>
      <c r="H52" s="22"/>
      <c r="J52" s="22"/>
      <c r="L52" s="203"/>
      <c r="M52" s="203"/>
      <c r="N52" s="203"/>
      <c r="O52" s="203"/>
      <c r="P52" s="203"/>
      <c r="Q52" s="203"/>
      <c r="R52" s="203"/>
      <c r="S52" s="30"/>
      <c r="T52" s="30"/>
    </row>
    <row r="53" spans="2:20" ht="15" customHeight="1" x14ac:dyDescent="0.35">
      <c r="B53" s="32"/>
      <c r="D53" s="58" t="s">
        <v>27</v>
      </c>
      <c r="F53" s="59"/>
      <c r="G53" s="60">
        <v>4</v>
      </c>
      <c r="H53" s="61">
        <f>-IF(G53+G54&lt;10,IF(G53&lt;5,$H$23*0.5,0),0)</f>
        <v>0</v>
      </c>
      <c r="I53" s="36"/>
      <c r="J53" s="57"/>
      <c r="L53" s="203"/>
      <c r="M53" s="203"/>
      <c r="N53" s="203"/>
      <c r="O53" s="203"/>
      <c r="P53" s="203"/>
      <c r="Q53" s="203"/>
      <c r="R53" s="203"/>
    </row>
    <row r="54" spans="2:20" x14ac:dyDescent="0.35">
      <c r="B54" s="32"/>
      <c r="D54" s="58" t="s">
        <v>28</v>
      </c>
      <c r="F54" s="59"/>
      <c r="G54" s="60">
        <v>6</v>
      </c>
      <c r="H54" s="62">
        <f>-IF(G53+G54&lt;10,IF(G54&lt;5,$H$23*0.5,0),0)</f>
        <v>0</v>
      </c>
      <c r="I54" s="36"/>
      <c r="J54" s="57"/>
      <c r="L54" s="203"/>
      <c r="M54" s="203"/>
      <c r="N54" s="203"/>
      <c r="O54" s="203"/>
      <c r="P54" s="203"/>
      <c r="Q54" s="203"/>
      <c r="R54" s="203"/>
    </row>
    <row r="55" spans="2:20" x14ac:dyDescent="0.35">
      <c r="B55" s="32"/>
      <c r="D55" s="58" t="s">
        <v>39</v>
      </c>
      <c r="E55" s="63"/>
      <c r="F55" s="63"/>
      <c r="G55" s="63"/>
      <c r="H55" s="61">
        <f>SUM(H51:H54)</f>
        <v>6000</v>
      </c>
      <c r="I55" s="36"/>
      <c r="J55" s="206" t="s">
        <v>87</v>
      </c>
      <c r="L55" s="203"/>
      <c r="M55" s="203"/>
      <c r="N55" s="203"/>
      <c r="O55" s="203"/>
      <c r="P55" s="203"/>
      <c r="Q55" s="203"/>
      <c r="R55" s="203"/>
    </row>
    <row r="56" spans="2:20" ht="9" customHeight="1" x14ac:dyDescent="0.35">
      <c r="B56" s="32"/>
      <c r="D56" s="27"/>
      <c r="E56" s="63"/>
      <c r="F56" s="63"/>
      <c r="G56" s="63"/>
      <c r="H56" s="64"/>
      <c r="I56" s="36"/>
      <c r="J56" s="57"/>
      <c r="L56" s="228" t="s">
        <v>35</v>
      </c>
      <c r="M56" s="229"/>
      <c r="N56" s="229"/>
      <c r="O56" s="229"/>
      <c r="P56" s="229"/>
      <c r="Q56" s="229"/>
      <c r="R56" s="203"/>
    </row>
    <row r="57" spans="2:20" ht="3.75" customHeight="1" thickBot="1" x14ac:dyDescent="0.4">
      <c r="B57" s="65"/>
      <c r="C57" s="53"/>
      <c r="D57" s="53"/>
      <c r="E57" s="53"/>
      <c r="F57" s="53"/>
      <c r="G57" s="53"/>
      <c r="H57" s="22"/>
      <c r="J57" s="22"/>
      <c r="L57" s="229"/>
      <c r="M57" s="229"/>
      <c r="N57" s="229"/>
      <c r="O57" s="229"/>
      <c r="P57" s="229"/>
      <c r="Q57" s="229"/>
      <c r="R57" s="203"/>
    </row>
    <row r="58" spans="2:20" ht="19" thickBot="1" x14ac:dyDescent="0.5">
      <c r="B58" s="66"/>
      <c r="C58" s="67"/>
      <c r="D58" s="68" t="s">
        <v>36</v>
      </c>
      <c r="E58" s="67"/>
      <c r="F58" s="67"/>
      <c r="G58" s="67"/>
      <c r="H58" s="69">
        <f>+H49+H55+(D8/2)</f>
        <v>36000</v>
      </c>
      <c r="I58" s="36"/>
      <c r="J58" s="22"/>
      <c r="K58" s="36"/>
      <c r="L58" s="229"/>
      <c r="M58" s="229"/>
      <c r="N58" s="229"/>
      <c r="O58" s="229"/>
      <c r="P58" s="229"/>
      <c r="Q58" s="229"/>
      <c r="R58" s="203"/>
    </row>
    <row r="59" spans="2:20" ht="16" thickBot="1" x14ac:dyDescent="0.4">
      <c r="B59" s="70"/>
      <c r="C59" s="67"/>
      <c r="D59" s="67"/>
      <c r="E59" s="67"/>
      <c r="F59" s="67"/>
      <c r="G59" s="67"/>
      <c r="H59" s="71">
        <f>IFERROR(H58/(E49+F49),0)</f>
        <v>0.3</v>
      </c>
      <c r="I59" s="67"/>
      <c r="J59" s="72"/>
      <c r="L59" s="229"/>
      <c r="M59" s="229"/>
      <c r="N59" s="229"/>
      <c r="O59" s="229"/>
      <c r="P59" s="229"/>
      <c r="Q59" s="229"/>
      <c r="R59" s="203"/>
    </row>
    <row r="60" spans="2:20" ht="15" thickBot="1" x14ac:dyDescent="0.4">
      <c r="L60" s="203"/>
      <c r="M60" s="203"/>
      <c r="N60" s="203"/>
      <c r="O60" s="203"/>
      <c r="P60" s="203"/>
      <c r="Q60" s="203"/>
      <c r="R60" s="203"/>
    </row>
    <row r="61" spans="2:20" hidden="1" x14ac:dyDescent="0.35">
      <c r="B61" s="43"/>
      <c r="C61" s="44"/>
      <c r="D61" s="44"/>
      <c r="E61" s="44"/>
      <c r="F61" s="44"/>
      <c r="G61" s="44"/>
      <c r="H61" s="45"/>
      <c r="I61" s="43"/>
      <c r="J61" s="45"/>
      <c r="L61" s="203"/>
      <c r="M61" s="203"/>
      <c r="N61" s="203"/>
      <c r="O61" s="203"/>
      <c r="P61" s="203"/>
      <c r="Q61" s="203"/>
      <c r="R61" s="203"/>
    </row>
    <row r="62" spans="2:20" hidden="1" x14ac:dyDescent="0.35">
      <c r="B62" s="73"/>
      <c r="D62" s="74">
        <f>L44</f>
        <v>0.01</v>
      </c>
      <c r="E62" s="74">
        <f>N44</f>
        <v>100000</v>
      </c>
      <c r="F62" s="74"/>
      <c r="G62" s="74"/>
      <c r="H62" s="75">
        <f>O44</f>
        <v>0.25</v>
      </c>
      <c r="I62" s="76"/>
      <c r="J62" s="77">
        <f>IF(E49&gt;=D62,IF(E49&lt;=E62,1,0))</f>
        <v>0</v>
      </c>
      <c r="L62" s="203"/>
      <c r="M62" s="203"/>
      <c r="N62" s="203"/>
      <c r="O62" s="203"/>
      <c r="P62" s="203"/>
      <c r="Q62" s="203"/>
      <c r="R62" s="203"/>
    </row>
    <row r="63" spans="2:20" hidden="1" x14ac:dyDescent="0.35">
      <c r="B63" s="73"/>
      <c r="D63" s="74">
        <f>L45</f>
        <v>100000.01</v>
      </c>
      <c r="E63" s="74">
        <f>N45</f>
        <v>150000</v>
      </c>
      <c r="F63" s="74"/>
      <c r="G63" s="74"/>
      <c r="H63" s="75">
        <f>IF($D$12="YES",O45+2.5%,O45)</f>
        <v>0.3</v>
      </c>
      <c r="I63" s="76"/>
      <c r="J63" s="77">
        <f>IF(E49&gt;=D63,IF(E49&lt;=E63,1,0))</f>
        <v>1</v>
      </c>
      <c r="L63" s="203"/>
      <c r="M63" s="203"/>
      <c r="N63" s="203"/>
      <c r="O63" s="203"/>
      <c r="P63" s="203"/>
      <c r="Q63" s="203"/>
      <c r="R63" s="203"/>
    </row>
    <row r="64" spans="2:20" hidden="1" x14ac:dyDescent="0.35">
      <c r="B64" s="73"/>
      <c r="D64" s="74">
        <f>L46</f>
        <v>150000.01</v>
      </c>
      <c r="E64" s="74">
        <f>N46</f>
        <v>200000</v>
      </c>
      <c r="F64" s="74"/>
      <c r="G64" s="74"/>
      <c r="H64" s="75">
        <f>IF($D$12="YES",O46+2.5%,O46)</f>
        <v>0.35</v>
      </c>
      <c r="I64" s="76"/>
      <c r="J64" s="77" t="b">
        <f>IF(E49&gt;=D64,IF(E49&lt;=E64,1,0))</f>
        <v>0</v>
      </c>
      <c r="L64" s="203"/>
      <c r="M64" s="203"/>
      <c r="N64" s="203"/>
      <c r="O64" s="203"/>
      <c r="P64" s="203"/>
      <c r="Q64" s="203"/>
      <c r="R64" s="203"/>
    </row>
    <row r="65" spans="2:18" hidden="1" x14ac:dyDescent="0.35">
      <c r="B65" s="73"/>
      <c r="D65" s="74">
        <f>E64</f>
        <v>200000</v>
      </c>
      <c r="E65" s="74">
        <v>9000000</v>
      </c>
      <c r="F65" s="74"/>
      <c r="G65" s="74"/>
      <c r="H65" s="75">
        <f>IF($D$12="YES",O47+2.5%,O47)</f>
        <v>0.4</v>
      </c>
      <c r="I65" s="76"/>
      <c r="J65" s="77" t="b">
        <f>IF(E49&gt;=D65,IF(E49&lt;=E65,1,0))</f>
        <v>0</v>
      </c>
      <c r="L65" s="203"/>
      <c r="M65" s="203"/>
      <c r="N65" s="203"/>
      <c r="O65" s="203"/>
      <c r="P65" s="203"/>
      <c r="Q65" s="203"/>
      <c r="R65" s="203"/>
    </row>
    <row r="66" spans="2:18" hidden="1" x14ac:dyDescent="0.35">
      <c r="B66" s="78"/>
      <c r="C66" s="53"/>
      <c r="D66" s="53"/>
      <c r="E66" s="53"/>
      <c r="F66" s="53"/>
      <c r="G66" s="53"/>
      <c r="H66" s="79"/>
      <c r="I66" s="78"/>
      <c r="J66" s="79"/>
      <c r="L66" s="203"/>
      <c r="M66" s="203"/>
      <c r="N66" s="203"/>
      <c r="O66" s="203"/>
      <c r="P66" s="203"/>
      <c r="Q66" s="203"/>
      <c r="R66" s="203"/>
    </row>
    <row r="67" spans="2:18" hidden="1" x14ac:dyDescent="0.35">
      <c r="B67" s="43"/>
      <c r="C67" s="44"/>
      <c r="D67" s="44"/>
      <c r="E67" s="44"/>
      <c r="F67" s="44"/>
      <c r="G67" s="44"/>
      <c r="H67" s="45"/>
      <c r="I67" s="73"/>
      <c r="J67" s="77"/>
      <c r="L67" s="203"/>
      <c r="M67" s="203"/>
      <c r="N67" s="203"/>
      <c r="O67" s="203"/>
      <c r="P67" s="203"/>
      <c r="Q67" s="203"/>
      <c r="R67" s="203"/>
    </row>
    <row r="68" spans="2:18" hidden="1" x14ac:dyDescent="0.35">
      <c r="B68" s="73"/>
      <c r="E68" t="s">
        <v>10</v>
      </c>
      <c r="H68" s="75">
        <f>IF(J62=1,H62,IF(J63=1,H63,IF(J64=1,H64,IF(J65=1,H65))))</f>
        <v>0.3</v>
      </c>
      <c r="I68" s="76"/>
      <c r="J68" s="77"/>
      <c r="L68" s="203"/>
      <c r="M68" s="203"/>
      <c r="N68" s="203"/>
      <c r="O68" s="203"/>
      <c r="P68" s="203"/>
      <c r="Q68" s="203"/>
      <c r="R68" s="203"/>
    </row>
    <row r="69" spans="2:18" hidden="1" x14ac:dyDescent="0.35">
      <c r="B69" s="78"/>
      <c r="C69" s="53"/>
      <c r="D69" s="53"/>
      <c r="E69" s="53"/>
      <c r="F69" s="53"/>
      <c r="G69" s="53"/>
      <c r="H69" s="79"/>
      <c r="I69" s="78"/>
      <c r="J69" s="79"/>
      <c r="L69" s="203"/>
      <c r="M69" s="203"/>
      <c r="N69" s="203"/>
      <c r="O69" s="203"/>
      <c r="P69" s="203"/>
      <c r="Q69" s="203"/>
      <c r="R69" s="203"/>
    </row>
    <row r="70" spans="2:18" ht="15.5" x14ac:dyDescent="0.35">
      <c r="F70" s="213" t="s">
        <v>78</v>
      </c>
      <c r="G70" s="209" t="s">
        <v>43</v>
      </c>
      <c r="H70" s="210">
        <f>D8</f>
        <v>30000</v>
      </c>
      <c r="L70" s="203"/>
      <c r="M70" s="203"/>
      <c r="N70" s="203"/>
      <c r="O70" s="203"/>
      <c r="P70" s="203"/>
      <c r="Q70" s="203"/>
      <c r="R70" s="203"/>
    </row>
    <row r="71" spans="2:18" ht="15.5" x14ac:dyDescent="0.35">
      <c r="F71" s="214"/>
      <c r="G71" s="211" t="s">
        <v>3</v>
      </c>
      <c r="H71" s="212">
        <f>H21+H49</f>
        <v>30000</v>
      </c>
      <c r="L71" s="203"/>
      <c r="M71" s="203"/>
      <c r="N71" s="203"/>
      <c r="O71" s="203"/>
      <c r="P71" s="203"/>
      <c r="Q71" s="203"/>
      <c r="R71" s="203"/>
    </row>
    <row r="72" spans="2:18" ht="16" thickBot="1" x14ac:dyDescent="0.4">
      <c r="F72" s="214"/>
      <c r="G72" s="211" t="s">
        <v>79</v>
      </c>
      <c r="H72" s="212">
        <f>H27+H51</f>
        <v>12000</v>
      </c>
      <c r="L72" s="203"/>
      <c r="M72" s="203"/>
      <c r="N72" s="203"/>
      <c r="O72" s="203"/>
      <c r="P72" s="203"/>
      <c r="Q72" s="203"/>
      <c r="R72" s="203"/>
    </row>
    <row r="73" spans="2:18" ht="16" thickBot="1" x14ac:dyDescent="0.4">
      <c r="F73" s="215"/>
      <c r="G73" s="207" t="s">
        <v>80</v>
      </c>
      <c r="H73" s="208">
        <f>SUM(H70:H72)</f>
        <v>72000</v>
      </c>
      <c r="L73" s="203"/>
      <c r="M73" s="203"/>
      <c r="N73" s="203"/>
      <c r="O73" s="203"/>
      <c r="P73" s="203"/>
      <c r="Q73" s="203"/>
      <c r="R73" s="203"/>
    </row>
    <row r="74" spans="2:18" x14ac:dyDescent="0.35">
      <c r="L74" s="203"/>
      <c r="M74" s="203"/>
      <c r="N74" s="203"/>
      <c r="O74" s="203"/>
      <c r="P74" s="203"/>
      <c r="Q74" s="203"/>
      <c r="R74" s="203"/>
    </row>
    <row r="75" spans="2:18" x14ac:dyDescent="0.35">
      <c r="B75" s="80" t="s">
        <v>33</v>
      </c>
    </row>
  </sheetData>
  <sheetProtection selectLockedCells="1"/>
  <protectedRanges>
    <protectedRange sqref="D8 F25:G26 D10:D11 F53:G54 D14:G19 D42:G47" name="Range1"/>
  </protectedRanges>
  <mergeCells count="6">
    <mergeCell ref="F70:F73"/>
    <mergeCell ref="L5:Q5"/>
    <mergeCell ref="L8:Q8"/>
    <mergeCell ref="L12:Q12"/>
    <mergeCell ref="L28:Q31"/>
    <mergeCell ref="L56:Q59"/>
  </mergeCells>
  <phoneticPr fontId="16" type="noConversion"/>
  <dataValidations disablePrompts="1" count="2">
    <dataValidation type="list" allowBlank="1" showInputMessage="1" showErrorMessage="1" sqref="D12" xr:uid="{20BA7945-127D-4847-991B-B769092B22C9}">
      <formula1>$T$18:$T$19</formula1>
    </dataValidation>
    <dataValidation type="list" showInputMessage="1" showErrorMessage="1" sqref="D10:D11" xr:uid="{F98361E3-34C1-48A4-9933-EC6796A64E9D}">
      <formula1>$T$14:$T$16</formula1>
    </dataValidation>
  </dataValidations>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DE05-4EA4-4411-8379-619C4B389DC9}">
  <sheetPr>
    <tabColor rgb="FF92D050"/>
    <pageSetUpPr fitToPage="1"/>
  </sheetPr>
  <dimension ref="B1:AJ44"/>
  <sheetViews>
    <sheetView zoomScale="90" zoomScaleNormal="90" workbookViewId="0">
      <selection activeCell="AE22" sqref="AE22"/>
    </sheetView>
  </sheetViews>
  <sheetFormatPr defaultColWidth="9.1796875" defaultRowHeight="14.5" x14ac:dyDescent="0.35"/>
  <cols>
    <col min="1" max="1" width="2.81640625" style="84" customWidth="1"/>
    <col min="2" max="2" width="16.1796875" style="84" customWidth="1"/>
    <col min="3" max="3" width="2" style="84" customWidth="1"/>
    <col min="4" max="4" width="15.26953125" style="84" customWidth="1"/>
    <col min="5" max="5" width="19.453125" style="84" customWidth="1"/>
    <col min="6" max="6" width="16.7265625" style="84" customWidth="1"/>
    <col min="7" max="7" width="0.81640625" style="84" customWidth="1"/>
    <col min="8" max="8" width="15.453125" style="84" customWidth="1"/>
    <col min="9" max="9" width="3.26953125" style="84" customWidth="1"/>
    <col min="10" max="10" width="11.1796875" style="84" hidden="1" customWidth="1"/>
    <col min="11" max="11" width="9.1796875" style="84" hidden="1" customWidth="1"/>
    <col min="12" max="12" width="12.453125" style="84" hidden="1" customWidth="1"/>
    <col min="13" max="13" width="9.1796875" style="84" hidden="1" customWidth="1"/>
    <col min="14" max="14" width="6.1796875" style="84" hidden="1" customWidth="1"/>
    <col min="15" max="15" width="11.26953125" style="84" hidden="1" customWidth="1"/>
    <col min="16" max="16" width="9.1796875" style="86" hidden="1" customWidth="1"/>
    <col min="17" max="17" width="9.1796875" style="84" hidden="1" customWidth="1"/>
    <col min="18" max="18" width="11" style="84" hidden="1" customWidth="1"/>
    <col min="19" max="19" width="0.7265625" style="84" hidden="1" customWidth="1"/>
    <col min="20" max="20" width="2.54296875" style="84" hidden="1" customWidth="1"/>
    <col min="21" max="21" width="9.1796875" style="84" hidden="1" customWidth="1"/>
    <col min="22" max="22" width="11" style="84" hidden="1" customWidth="1"/>
    <col min="23" max="24" width="9.1796875" style="84" hidden="1" customWidth="1"/>
    <col min="25" max="26" width="10.1796875" style="84" hidden="1" customWidth="1"/>
    <col min="27" max="27" width="12.54296875" style="84" hidden="1" customWidth="1"/>
    <col min="28" max="28" width="8.54296875" style="84" bestFit="1" customWidth="1"/>
    <col min="29" max="29" width="4.26953125" style="84" customWidth="1"/>
    <col min="30" max="30" width="8.54296875" style="84" bestFit="1" customWidth="1"/>
    <col min="31" max="31" width="10.08984375" style="84" bestFit="1" customWidth="1"/>
    <col min="32" max="32" width="3" style="84" customWidth="1"/>
    <col min="33" max="16384" width="9.1796875" style="84"/>
  </cols>
  <sheetData>
    <row r="1" spans="2:36" ht="15" thickBot="1" x14ac:dyDescent="0.4">
      <c r="U1" s="87" t="s">
        <v>44</v>
      </c>
      <c r="V1" s="87" t="s">
        <v>45</v>
      </c>
      <c r="W1" s="87" t="s">
        <v>46</v>
      </c>
      <c r="X1" s="87" t="s">
        <v>47</v>
      </c>
    </row>
    <row r="2" spans="2:36" ht="18.5" x14ac:dyDescent="0.45">
      <c r="B2" s="3" t="s">
        <v>48</v>
      </c>
      <c r="C2" s="4"/>
      <c r="D2" s="4"/>
      <c r="E2" s="4"/>
      <c r="F2" s="4"/>
      <c r="G2" s="4"/>
      <c r="H2" s="4"/>
      <c r="O2" s="88">
        <f t="shared" ref="O2:R6" si="0">U2</f>
        <v>0</v>
      </c>
      <c r="P2" s="89">
        <f t="shared" si="0"/>
        <v>0</v>
      </c>
      <c r="Q2" s="90">
        <f t="shared" si="0"/>
        <v>0</v>
      </c>
      <c r="R2" s="91">
        <f t="shared" si="0"/>
        <v>0</v>
      </c>
      <c r="U2" s="92">
        <f>IF($E$15&lt;$D$10,0,IF($AA$2&gt;$K$16,0,IF($E$15&lt;$AA$2,($E$15-$D$10)*$L$16,($E$15-$D$10-($E$15-$AA$2))*$L$16)))</f>
        <v>0</v>
      </c>
      <c r="V2" s="92">
        <f>IF($E$19&lt;$D$10,0,IF($AA$2&gt;$K$16,0,IF($E$19&lt;$AA$2,($E$19-$D$10)*$L$16,($E$19-$D$10-($E$19-$AA$2))*$L$16)))</f>
        <v>0</v>
      </c>
      <c r="W2" s="92">
        <f>IF($E$23&lt;$D$10,0,IF($AA$2&gt;$K$16,0,IF($E$23&lt;$AA$2,($E$23-$D$10)*$L$16,($E$23-$D$10-($E$23-$AA$2))*$L$16)))</f>
        <v>0</v>
      </c>
      <c r="X2" s="92">
        <f>IF($E$27&lt;$D$10,0,IF($AA$2&gt;$K$16,0,IF($E$27&lt;$AA$2,($E$27-$D$10)*$L$16,($E$27-$D$10-($E$27-$AA$2))*$L$16)))</f>
        <v>0</v>
      </c>
      <c r="Z2" s="92">
        <v>0</v>
      </c>
      <c r="AA2" s="92">
        <f>IF(K11&lt;D10,D10,K11)</f>
        <v>20000</v>
      </c>
    </row>
    <row r="3" spans="2:36" ht="20.25" hidden="1" customHeight="1" x14ac:dyDescent="0.35">
      <c r="B3" s="6"/>
      <c r="C3" s="4"/>
      <c r="D3" s="4"/>
      <c r="E3" s="4"/>
      <c r="F3" s="4"/>
      <c r="G3" s="4"/>
      <c r="H3" s="4"/>
      <c r="J3" s="85" t="s">
        <v>0</v>
      </c>
      <c r="O3" s="93">
        <f t="shared" si="0"/>
        <v>1999.9980000000005</v>
      </c>
      <c r="P3" s="94">
        <f t="shared" si="0"/>
        <v>1999.9980000000005</v>
      </c>
      <c r="Q3" s="95">
        <f t="shared" si="0"/>
        <v>1999.9980000000005</v>
      </c>
      <c r="R3" s="96">
        <f t="shared" si="0"/>
        <v>1999.9980000000005</v>
      </c>
      <c r="U3" s="92">
        <f>IF($E$15&lt;=$AA$2,0,IF($AA$3&lt;$K$17,0,IF($E$15&lt;$AA$3,($E$15-$Z$3)*$L$17,($E$15-$Z$3-($E$15-$AA$3))*$L$17)))</f>
        <v>1999.9980000000005</v>
      </c>
      <c r="V3" s="92">
        <f>IF($E$19&lt;=$AA$2,0,IF($AA$3&lt;$K$17,0,IF($E$19&lt;$AA$3,($E$19-$Z$3)*$L$17,($E$19-$Z$3-($E$19-$AA$3))*$L$17)))</f>
        <v>1999.9980000000005</v>
      </c>
      <c r="W3" s="92">
        <f>IF($E$23&lt;=$AA$2,0,IF($AA$3&lt;$K$17,0,IF($E$23&lt;$AA$3,($E$23-$Z$3)*$L$17,($E$23-$Z$3-($E$23-$AA$3))*$L$17)))</f>
        <v>1999.9980000000005</v>
      </c>
      <c r="X3" s="92">
        <f>IF($E$27&lt;=$AA$2,0,IF($AA$3&lt;$K$17,0,IF($E$27&lt;$AA$3,($E$27-$Z$3)*$L$17,($E$27-$Z$3-($E$27-$AA$3))*$L$17)))</f>
        <v>1999.9980000000005</v>
      </c>
      <c r="Z3" s="92">
        <f>AA2+0.01</f>
        <v>20000.009999999998</v>
      </c>
      <c r="AA3" s="92">
        <f>IF(K12&lt;=D10,D10,K12-0.01)</f>
        <v>39999.99</v>
      </c>
    </row>
    <row r="4" spans="2:36" ht="16.5" customHeight="1" thickBot="1" x14ac:dyDescent="0.4">
      <c r="O4" s="93">
        <f t="shared" si="0"/>
        <v>3999.9979999999996</v>
      </c>
      <c r="P4" s="94">
        <f t="shared" si="0"/>
        <v>3999.9979999999996</v>
      </c>
      <c r="Q4" s="95">
        <f t="shared" si="0"/>
        <v>3999.9979999999996</v>
      </c>
      <c r="R4" s="96">
        <f t="shared" si="0"/>
        <v>3999.9979999999996</v>
      </c>
      <c r="U4" s="92">
        <f>IF($E$15&lt;=$AA$3,0,IF($AA$4&lt;$K$18,0,IF($E$15&lt;$AA$4,($E$15-$Z$4)*$L$18,($E$15-$Z$4-($E$15-$AA$4))*$L$18)))</f>
        <v>3999.9979999999996</v>
      </c>
      <c r="V4" s="92">
        <f>IF($E$19&lt;=$AA$3,0,IF($AA$4&lt;$K$18,0,IF($E$19&lt;$AA$4,($E$19-$Z$4)*$L$18,($E$19-$Z$4-($E$19-$AA$4))*$L$18)))</f>
        <v>3999.9979999999996</v>
      </c>
      <c r="W4" s="92">
        <f>IF($E$23&lt;=$AA$3,0,IF($AA$4&lt;$K$18,0,IF($E$23&lt;$AA$4,($E$23-$Z$4)*$L$18,($E$23-$Z$4-($E$23-$AA$4))*$L$18)))</f>
        <v>3999.9979999999996</v>
      </c>
      <c r="X4" s="92">
        <f>IF($E$27&lt;=$AA$3,0,IF($AA$4&lt;$K$18,0,IF($E$27&lt;$AA$4,($E$27-$Z$4)*$L$18,($E$27-$Z$4-($E$27-$AA$4))*$L$18)))</f>
        <v>3999.9979999999996</v>
      </c>
      <c r="Z4" s="92">
        <f>AA3+0.01</f>
        <v>40000</v>
      </c>
      <c r="AA4" s="92">
        <f>IF(K13&lt;=D10,D10,K13-0.01)</f>
        <v>59999.99</v>
      </c>
    </row>
    <row r="5" spans="2:36" x14ac:dyDescent="0.35">
      <c r="B5" s="7" t="s">
        <v>1</v>
      </c>
      <c r="C5" s="97"/>
      <c r="D5" s="9" t="s">
        <v>49</v>
      </c>
      <c r="E5" s="9" t="s">
        <v>2</v>
      </c>
      <c r="F5" s="10" t="s">
        <v>3</v>
      </c>
      <c r="G5" s="97"/>
      <c r="H5" s="10" t="s">
        <v>42</v>
      </c>
      <c r="I5" s="12"/>
      <c r="J5" s="98" t="s">
        <v>50</v>
      </c>
      <c r="K5" s="98"/>
      <c r="L5" s="98"/>
      <c r="M5" s="98"/>
      <c r="N5" s="98"/>
      <c r="O5" s="93">
        <f t="shared" si="0"/>
        <v>4500</v>
      </c>
      <c r="P5" s="94">
        <f t="shared" si="0"/>
        <v>4500</v>
      </c>
      <c r="Q5" s="95">
        <f t="shared" si="0"/>
        <v>4500</v>
      </c>
      <c r="R5" s="96">
        <f t="shared" si="0"/>
        <v>4500</v>
      </c>
      <c r="U5" s="99">
        <f>IF($E$15&lt;=$AA$4,0,IF($AA$5&lt;$K$19,0,IF($E$15&lt;$AA$5,($E$15-$Z$5)*$L$19,($E$15-$Z$5-($E$15-$AA$5))*$L$19)))</f>
        <v>4500</v>
      </c>
      <c r="V5" s="99">
        <f>IF($E$19&lt;=$AA$4,0,IF($AA$5&lt;$K$19,0,IF($E$19&lt;$AA$5,($E$19-$Z$5)*$L$19,($E$19-$Z$5-($E$19-$AA$5))*$L$19)))</f>
        <v>4500</v>
      </c>
      <c r="W5" s="99">
        <f>IF($E$23&lt;=$AA$4,0,IF($AA$5&lt;$K$19,0,IF($E$23&lt;$AA$5,($E$23-$Z$5)*$L$19,($E$23-$Z$5-($E$23-$AA$5))*$L$19)))</f>
        <v>4500</v>
      </c>
      <c r="X5" s="99">
        <f>IF($E$27&lt;=$AA$4,0,IF($AA$5&lt;$K$19,0,IF($E$27&lt;$AA$5,($E$27-$Z$5)*$L$19,($E$27-$Z$5-($E$27-$AA$5))*$L$19)))</f>
        <v>4500</v>
      </c>
      <c r="Y5" s="100"/>
      <c r="Z5" s="99">
        <f>AA4+0.01</f>
        <v>60000</v>
      </c>
      <c r="AA5" s="99">
        <f>IF(K14&lt;=D10,D10,K14-0.01)</f>
        <v>79999.990000000005</v>
      </c>
      <c r="AB5" s="101" t="s">
        <v>51</v>
      </c>
      <c r="AC5" s="100"/>
      <c r="AD5" s="100"/>
      <c r="AE5" s="100"/>
      <c r="AF5" s="100"/>
      <c r="AG5" s="100"/>
      <c r="AH5" s="100"/>
      <c r="AI5" s="100"/>
    </row>
    <row r="6" spans="2:36" ht="15" thickBot="1" x14ac:dyDescent="0.4">
      <c r="B6" s="13" t="s">
        <v>4</v>
      </c>
      <c r="C6" s="102"/>
      <c r="D6" s="15"/>
      <c r="E6" s="15" t="s">
        <v>52</v>
      </c>
      <c r="F6" s="16"/>
      <c r="G6" s="102"/>
      <c r="H6" s="16" t="s">
        <v>5</v>
      </c>
      <c r="I6" s="12"/>
      <c r="J6" s="103"/>
      <c r="K6" s="103"/>
      <c r="L6" s="103"/>
      <c r="M6" s="103"/>
      <c r="O6" s="93">
        <f t="shared" si="0"/>
        <v>0</v>
      </c>
      <c r="P6" s="94">
        <f t="shared" si="0"/>
        <v>0</v>
      </c>
      <c r="Q6" s="95">
        <f t="shared" si="0"/>
        <v>0</v>
      </c>
      <c r="R6" s="96">
        <f t="shared" si="0"/>
        <v>0</v>
      </c>
      <c r="U6" s="92">
        <f>IF($E$15&lt;$D$10,0,IF(($E$15&lt;$K$19),0,IF($D$10&gt;$K$19,($E$15-$D$10)*$L$20,($E$15-$K$19)*$L$20)))</f>
        <v>0</v>
      </c>
      <c r="V6" s="92">
        <f>IF($E$19&lt;$D$10,0,IF(($E$19&lt;$K$19),0,IF($D$10&gt;$K$19,($E$19-$D$10)*$L$20,($E$19-$K$19)*$L$20)))</f>
        <v>0</v>
      </c>
      <c r="W6" s="92">
        <f>IF($E$23&lt;$D$10,0,IF(($E$23&lt;$K$19),0,IF($D$10&gt;$K$19,($E$23-$D$10)*$L$20,($E$23-$K$19)*$L$20)))</f>
        <v>0</v>
      </c>
      <c r="X6" s="92">
        <f>IF($E$27&lt;$D$10,0,IF(($E$27&lt;$K$19),0,IF($D$10&gt;$K$19,($E$27-$D$10)*$L$20,($E$27-$K$19)*$L$20)))</f>
        <v>0</v>
      </c>
      <c r="Z6" s="92">
        <f>AA5+0.01</f>
        <v>80000</v>
      </c>
      <c r="AA6" s="92"/>
    </row>
    <row r="7" spans="2:36" ht="15" thickBot="1" x14ac:dyDescent="0.4">
      <c r="B7" s="104"/>
      <c r="F7" s="105"/>
      <c r="G7" s="106"/>
      <c r="H7" s="107"/>
      <c r="J7" s="103"/>
      <c r="K7" s="103"/>
      <c r="L7" s="103"/>
      <c r="M7" s="103"/>
      <c r="O7" s="108">
        <f>SUM(O2:O6)</f>
        <v>10499.995999999999</v>
      </c>
      <c r="P7" s="109">
        <f>SUM(P2:P6)</f>
        <v>10499.995999999999</v>
      </c>
      <c r="Q7" s="110">
        <f>SUM(Q2:Q6)</f>
        <v>10499.995999999999</v>
      </c>
      <c r="R7" s="111">
        <f>SUM(R2:R6)</f>
        <v>10499.995999999999</v>
      </c>
    </row>
    <row r="8" spans="2:36" ht="15" thickBot="1" x14ac:dyDescent="0.4">
      <c r="B8" s="112" t="s">
        <v>53</v>
      </c>
      <c r="D8" s="113">
        <v>35000</v>
      </c>
      <c r="F8" s="105"/>
      <c r="H8" s="105"/>
      <c r="I8" s="12"/>
    </row>
    <row r="9" spans="2:36" ht="15" thickBot="1" x14ac:dyDescent="0.4">
      <c r="B9" s="112" t="s">
        <v>54</v>
      </c>
      <c r="D9" s="114" t="s">
        <v>77</v>
      </c>
      <c r="F9" s="105"/>
      <c r="H9" s="105"/>
      <c r="I9" s="12"/>
      <c r="R9" s="115"/>
      <c r="AB9" s="116" t="s">
        <v>32</v>
      </c>
      <c r="AC9" s="116"/>
      <c r="AD9" s="116"/>
      <c r="AE9" s="116"/>
      <c r="AF9" s="116"/>
      <c r="AG9" s="116"/>
      <c r="AH9" s="100"/>
    </row>
    <row r="10" spans="2:36" ht="15" hidden="1" thickBot="1" x14ac:dyDescent="0.4">
      <c r="D10" s="117">
        <v>0</v>
      </c>
      <c r="F10" s="105"/>
      <c r="H10" s="105"/>
      <c r="I10" s="12"/>
      <c r="J10" s="98" t="s">
        <v>55</v>
      </c>
      <c r="R10" s="115"/>
    </row>
    <row r="11" spans="2:36" x14ac:dyDescent="0.35">
      <c r="B11" s="104"/>
      <c r="D11"/>
      <c r="F11" s="105"/>
      <c r="H11" s="105"/>
      <c r="J11" s="118" t="s">
        <v>56</v>
      </c>
      <c r="K11" s="119">
        <v>20000</v>
      </c>
      <c r="R11" s="115"/>
    </row>
    <row r="12" spans="2:36" x14ac:dyDescent="0.35">
      <c r="B12" s="120" t="s">
        <v>19</v>
      </c>
      <c r="D12" s="33">
        <f>$D$8/12</f>
        <v>2916.6666666666665</v>
      </c>
      <c r="E12" s="121">
        <v>25000</v>
      </c>
      <c r="F12" s="122"/>
      <c r="H12" s="122"/>
      <c r="J12" s="123" t="s">
        <v>57</v>
      </c>
      <c r="K12" s="124">
        <v>40000</v>
      </c>
      <c r="O12" s="125">
        <f>IF(J25&lt;=E29,IF(L25&gt;=E29,E29*M25-F33,0),0)</f>
        <v>0</v>
      </c>
      <c r="P12" s="126">
        <f>IF(O12&gt;=0,O12,0)</f>
        <v>0</v>
      </c>
      <c r="Q12" s="127"/>
      <c r="R12" s="128"/>
      <c r="AB12" s="230" t="s">
        <v>58</v>
      </c>
      <c r="AC12" s="231"/>
      <c r="AD12" s="232"/>
      <c r="AE12" s="129" t="s">
        <v>7</v>
      </c>
      <c r="AG12" s="230" t="s">
        <v>59</v>
      </c>
      <c r="AH12" s="231"/>
      <c r="AI12" s="232"/>
      <c r="AJ12" s="129" t="s">
        <v>7</v>
      </c>
    </row>
    <row r="13" spans="2:36" x14ac:dyDescent="0.35">
      <c r="B13" s="120" t="s">
        <v>20</v>
      </c>
      <c r="D13" s="33">
        <f t="shared" ref="D13:D14" si="1">$D$8/12</f>
        <v>2916.6666666666665</v>
      </c>
      <c r="E13" s="121">
        <v>25000</v>
      </c>
      <c r="F13" s="122"/>
      <c r="H13" s="130"/>
      <c r="J13" s="123" t="s">
        <v>60</v>
      </c>
      <c r="K13" s="124">
        <v>60000</v>
      </c>
      <c r="O13" s="131">
        <f>IF(J26&lt;=E29,IF(L26&gt;=E29,E29*M26-F33,0),0)</f>
        <v>0</v>
      </c>
      <c r="P13" s="86">
        <f t="shared" ref="P13:P16" si="2">IF(O13&gt;=0,O13,0)</f>
        <v>0</v>
      </c>
      <c r="R13" s="132"/>
      <c r="AB13" s="133">
        <v>0</v>
      </c>
      <c r="AC13" s="134"/>
      <c r="AD13" s="135">
        <v>19999.990000000002</v>
      </c>
      <c r="AE13" s="136">
        <v>0</v>
      </c>
      <c r="AG13" s="133">
        <v>0</v>
      </c>
      <c r="AH13" s="134" t="s">
        <v>8</v>
      </c>
      <c r="AI13" s="135">
        <v>79999.990000000005</v>
      </c>
      <c r="AJ13" s="136">
        <v>0.25</v>
      </c>
    </row>
    <row r="14" spans="2:36" ht="15" thickBot="1" x14ac:dyDescent="0.4">
      <c r="B14" s="120" t="s">
        <v>21</v>
      </c>
      <c r="D14" s="33">
        <f t="shared" si="1"/>
        <v>2916.6666666666665</v>
      </c>
      <c r="E14" s="121">
        <v>25000</v>
      </c>
      <c r="F14" s="105"/>
      <c r="H14" s="137"/>
      <c r="J14" s="138" t="s">
        <v>61</v>
      </c>
      <c r="K14" s="139">
        <v>80000</v>
      </c>
      <c r="O14" s="131">
        <f>IF(J27&lt;=E29,IF(L27&gt;=E29,E29*M27-F33,0),0)</f>
        <v>0</v>
      </c>
      <c r="P14" s="86">
        <f t="shared" si="2"/>
        <v>0</v>
      </c>
      <c r="R14" s="132"/>
      <c r="AB14" s="133">
        <v>20000</v>
      </c>
      <c r="AC14" s="134" t="s">
        <v>62</v>
      </c>
      <c r="AD14" s="135">
        <v>39999.99</v>
      </c>
      <c r="AE14" s="136">
        <v>0.1</v>
      </c>
      <c r="AG14" s="133">
        <v>80000</v>
      </c>
      <c r="AH14" s="134" t="s">
        <v>8</v>
      </c>
      <c r="AI14" s="135">
        <v>89999.99</v>
      </c>
      <c r="AJ14" s="136">
        <v>0.3</v>
      </c>
    </row>
    <row r="15" spans="2:36" ht="15" thickBot="1" x14ac:dyDescent="0.4">
      <c r="B15" s="140" t="s">
        <v>44</v>
      </c>
      <c r="D15" s="141"/>
      <c r="E15" s="142">
        <f>SUM(E12:E14)</f>
        <v>75000</v>
      </c>
      <c r="F15" s="143">
        <f>+O7</f>
        <v>10499.995999999999</v>
      </c>
      <c r="H15" s="144" t="s">
        <v>63</v>
      </c>
      <c r="O15" s="131">
        <f>IF(J28&lt;=E29,IF(L28&gt;=E29,E29*M28-F33,0),0)</f>
        <v>0</v>
      </c>
      <c r="P15" s="86">
        <f t="shared" si="2"/>
        <v>0</v>
      </c>
      <c r="R15" s="132"/>
      <c r="V15" s="145"/>
      <c r="AB15" s="133">
        <v>40000</v>
      </c>
      <c r="AC15" s="134" t="s">
        <v>62</v>
      </c>
      <c r="AD15" s="135">
        <v>59999.99</v>
      </c>
      <c r="AE15" s="136">
        <v>0.2</v>
      </c>
      <c r="AG15" s="133">
        <v>90000</v>
      </c>
      <c r="AH15" s="134" t="s">
        <v>8</v>
      </c>
      <c r="AI15" s="135">
        <v>125000</v>
      </c>
      <c r="AJ15" s="136">
        <v>0.35</v>
      </c>
    </row>
    <row r="16" spans="2:36" x14ac:dyDescent="0.35">
      <c r="B16" s="120" t="s">
        <v>22</v>
      </c>
      <c r="D16" s="33">
        <f>$D$8/12</f>
        <v>2916.6666666666665</v>
      </c>
      <c r="E16" s="121">
        <v>25000</v>
      </c>
      <c r="F16" s="146"/>
      <c r="H16" s="146"/>
      <c r="I16" s="92"/>
      <c r="J16" s="147">
        <v>0</v>
      </c>
      <c r="K16" s="148">
        <f>+K11-0.01</f>
        <v>19999.990000000002</v>
      </c>
      <c r="L16" s="149">
        <v>0</v>
      </c>
      <c r="O16" s="131">
        <f>IF(E29&gt;=L29,E29*M29-F33,0)</f>
        <v>43000.016000000003</v>
      </c>
      <c r="P16" s="86">
        <f t="shared" si="2"/>
        <v>43000.016000000003</v>
      </c>
      <c r="R16" s="132"/>
      <c r="Y16" s="150"/>
      <c r="AB16" s="133">
        <v>60000</v>
      </c>
      <c r="AC16" s="134" t="s">
        <v>62</v>
      </c>
      <c r="AD16" s="135">
        <v>79999.990000000005</v>
      </c>
      <c r="AE16" s="136">
        <v>0.3</v>
      </c>
      <c r="AG16" s="133"/>
      <c r="AH16" s="134" t="s">
        <v>9</v>
      </c>
      <c r="AI16" s="135">
        <v>125000</v>
      </c>
      <c r="AJ16" s="136">
        <v>0.4</v>
      </c>
    </row>
    <row r="17" spans="2:31" x14ac:dyDescent="0.35">
      <c r="B17" s="120" t="s">
        <v>23</v>
      </c>
      <c r="D17" s="33">
        <f t="shared" ref="D17:D18" si="3">$D$8/12</f>
        <v>2916.6666666666665</v>
      </c>
      <c r="E17" s="121">
        <v>25000</v>
      </c>
      <c r="F17" s="146"/>
      <c r="H17" s="130"/>
      <c r="J17" s="151">
        <f>+K11</f>
        <v>20000</v>
      </c>
      <c r="K17" s="152">
        <f>+K12-0.01</f>
        <v>39999.99</v>
      </c>
      <c r="L17" s="153">
        <v>0.1</v>
      </c>
      <c r="O17" s="154">
        <f>SUM(O12:O16)</f>
        <v>43000.016000000003</v>
      </c>
      <c r="P17" s="155">
        <f>SUM(P12:P16)</f>
        <v>43000.016000000003</v>
      </c>
      <c r="Q17" s="156"/>
      <c r="R17" s="157"/>
      <c r="AB17" s="133">
        <v>80000</v>
      </c>
      <c r="AC17" s="134"/>
      <c r="AD17" s="158" t="s">
        <v>64</v>
      </c>
      <c r="AE17" s="136">
        <v>0.35</v>
      </c>
    </row>
    <row r="18" spans="2:31" ht="15" thickBot="1" x14ac:dyDescent="0.4">
      <c r="B18" s="120" t="s">
        <v>24</v>
      </c>
      <c r="D18" s="33">
        <f t="shared" si="3"/>
        <v>2916.6666666666665</v>
      </c>
      <c r="E18" s="121">
        <v>25000</v>
      </c>
      <c r="F18" s="105"/>
      <c r="H18" s="137"/>
      <c r="J18" s="151">
        <f>+K12</f>
        <v>40000</v>
      </c>
      <c r="K18" s="152">
        <f>+K13-0.01</f>
        <v>59999.99</v>
      </c>
      <c r="L18" s="153">
        <v>0.2</v>
      </c>
      <c r="R18" s="115"/>
    </row>
    <row r="19" spans="2:31" ht="15" thickBot="1" x14ac:dyDescent="0.4">
      <c r="B19" s="140" t="s">
        <v>45</v>
      </c>
      <c r="D19" s="141"/>
      <c r="E19" s="142">
        <f>SUM(E16:E18)</f>
        <v>75000</v>
      </c>
      <c r="F19" s="143">
        <f>+P7</f>
        <v>10499.995999999999</v>
      </c>
      <c r="H19" s="144" t="s">
        <v>65</v>
      </c>
      <c r="J19" s="151">
        <f>+K13</f>
        <v>60000</v>
      </c>
      <c r="K19" s="152">
        <f>+K14-0.01</f>
        <v>79999.990000000005</v>
      </c>
      <c r="L19" s="153">
        <v>0.3</v>
      </c>
      <c r="P19" s="159" t="s">
        <v>31</v>
      </c>
      <c r="R19" s="115"/>
      <c r="AB19" s="85"/>
    </row>
    <row r="20" spans="2:31" x14ac:dyDescent="0.35">
      <c r="B20" s="120" t="s">
        <v>66</v>
      </c>
      <c r="D20" s="33">
        <f t="shared" ref="D20:D22" si="4">$D$8/12</f>
        <v>2916.6666666666665</v>
      </c>
      <c r="E20" s="121">
        <v>25000</v>
      </c>
      <c r="F20" s="146"/>
      <c r="H20" s="130"/>
      <c r="J20" s="160">
        <f>+K14</f>
        <v>80000</v>
      </c>
      <c r="K20" s="161" t="s">
        <v>64</v>
      </c>
      <c r="L20" s="162">
        <v>0.35</v>
      </c>
      <c r="P20" s="163" t="s">
        <v>30</v>
      </c>
      <c r="R20" s="115"/>
    </row>
    <row r="21" spans="2:31" x14ac:dyDescent="0.35">
      <c r="B21" s="120" t="s">
        <v>67</v>
      </c>
      <c r="D21" s="33">
        <f t="shared" si="4"/>
        <v>2916.6666666666665</v>
      </c>
      <c r="E21" s="121">
        <v>25000</v>
      </c>
      <c r="F21" s="146"/>
      <c r="H21" s="130"/>
      <c r="R21" s="115"/>
    </row>
    <row r="22" spans="2:31" ht="15" thickBot="1" x14ac:dyDescent="0.4">
      <c r="B22" s="120" t="s">
        <v>68</v>
      </c>
      <c r="D22" s="33">
        <f t="shared" si="4"/>
        <v>2916.6666666666665</v>
      </c>
      <c r="E22" s="121">
        <v>25000</v>
      </c>
      <c r="F22" s="105"/>
      <c r="H22" s="137"/>
      <c r="J22" s="85" t="s">
        <v>6</v>
      </c>
      <c r="T22" s="150"/>
    </row>
    <row r="23" spans="2:31" ht="15" thickBot="1" x14ac:dyDescent="0.4">
      <c r="B23" s="140" t="s">
        <v>46</v>
      </c>
      <c r="D23" s="141"/>
      <c r="E23" s="142">
        <f>SUM(E20:E22)</f>
        <v>75000</v>
      </c>
      <c r="F23" s="143">
        <f>+Q7</f>
        <v>10499.995999999999</v>
      </c>
      <c r="H23" s="144" t="s">
        <v>89</v>
      </c>
      <c r="J23" s="38" t="s">
        <v>69</v>
      </c>
      <c r="K23" s="39"/>
      <c r="L23" s="40"/>
      <c r="M23" s="41" t="s">
        <v>7</v>
      </c>
    </row>
    <row r="24" spans="2:31" x14ac:dyDescent="0.35">
      <c r="B24" s="120" t="s">
        <v>70</v>
      </c>
      <c r="D24" s="33">
        <f t="shared" ref="D24:D26" si="5">$D$8/12</f>
        <v>2916.6666666666665</v>
      </c>
      <c r="E24" s="121">
        <v>25000</v>
      </c>
      <c r="F24" s="146"/>
      <c r="H24" s="130"/>
      <c r="J24" s="164"/>
      <c r="K24" s="165"/>
      <c r="L24" s="165"/>
      <c r="M24" s="166"/>
    </row>
    <row r="25" spans="2:31" x14ac:dyDescent="0.35">
      <c r="B25" s="120" t="s">
        <v>71</v>
      </c>
      <c r="D25" s="33">
        <f t="shared" si="5"/>
        <v>2916.6666666666665</v>
      </c>
      <c r="E25" s="121">
        <v>25000</v>
      </c>
      <c r="F25" s="146"/>
      <c r="H25" s="130"/>
      <c r="J25" s="167">
        <v>0</v>
      </c>
      <c r="K25" s="168" t="s">
        <v>8</v>
      </c>
      <c r="L25" s="169">
        <v>80000</v>
      </c>
      <c r="M25" s="170">
        <f>IF($D$9="YES",P25,O25)</f>
        <v>0.25</v>
      </c>
      <c r="N25" s="171">
        <f>+M25</f>
        <v>0.25</v>
      </c>
      <c r="O25" s="172">
        <v>0.25</v>
      </c>
      <c r="P25" s="172">
        <v>0.25</v>
      </c>
    </row>
    <row r="26" spans="2:31" ht="15" thickBot="1" x14ac:dyDescent="0.4">
      <c r="B26" s="120" t="s">
        <v>72</v>
      </c>
      <c r="D26" s="33">
        <f t="shared" si="5"/>
        <v>2916.6666666666665</v>
      </c>
      <c r="E26" s="121">
        <v>25000</v>
      </c>
      <c r="F26" s="105"/>
      <c r="H26" s="137"/>
      <c r="J26" s="167">
        <v>80000.009999999995</v>
      </c>
      <c r="K26" s="168" t="s">
        <v>8</v>
      </c>
      <c r="L26" s="169">
        <v>90000</v>
      </c>
      <c r="M26" s="170">
        <f>IF($D$9="YES",P26,O26)</f>
        <v>0.3</v>
      </c>
      <c r="N26" s="172">
        <f>+M26+2.5%</f>
        <v>0.32500000000000001</v>
      </c>
      <c r="O26" s="172">
        <v>0.3</v>
      </c>
      <c r="P26" s="172">
        <v>0.32500000000000001</v>
      </c>
      <c r="AB26" s="173"/>
      <c r="AC26" s="174" t="s">
        <v>9</v>
      </c>
      <c r="AD26" s="175">
        <v>360000</v>
      </c>
      <c r="AE26" s="176">
        <v>0.4</v>
      </c>
    </row>
    <row r="27" spans="2:31" ht="13.5" customHeight="1" thickBot="1" x14ac:dyDescent="0.4">
      <c r="B27" s="140" t="s">
        <v>47</v>
      </c>
      <c r="D27" s="33"/>
      <c r="E27" s="142">
        <f>SUM(E24:E26)</f>
        <v>75000</v>
      </c>
      <c r="F27" s="143">
        <f>+R7</f>
        <v>10499.995999999999</v>
      </c>
      <c r="H27" s="144" t="s">
        <v>90</v>
      </c>
      <c r="J27" s="167">
        <v>90000.01</v>
      </c>
      <c r="K27" s="168" t="s">
        <v>8</v>
      </c>
      <c r="L27" s="169">
        <v>100000</v>
      </c>
      <c r="M27" s="170">
        <f>IF($D$9="YES",P27,O27)</f>
        <v>0.35</v>
      </c>
      <c r="N27" s="172">
        <f>+M27+2.5%</f>
        <v>0.375</v>
      </c>
      <c r="O27" s="172">
        <v>0.35</v>
      </c>
      <c r="P27" s="172">
        <v>0.375</v>
      </c>
    </row>
    <row r="28" spans="2:31" ht="10.5" customHeight="1" thickBot="1" x14ac:dyDescent="0.4">
      <c r="B28" s="177"/>
      <c r="C28" s="123"/>
      <c r="D28"/>
      <c r="F28" s="146"/>
      <c r="H28" s="130"/>
      <c r="J28" s="167">
        <f>L27+0.01</f>
        <v>100000.01</v>
      </c>
      <c r="K28" s="168" t="s">
        <v>8</v>
      </c>
      <c r="L28" s="169">
        <f>125000-0.0001</f>
        <v>124999.9999</v>
      </c>
      <c r="M28" s="170">
        <v>0.35</v>
      </c>
      <c r="N28" s="172">
        <f>+M28+2.5%</f>
        <v>0.375</v>
      </c>
      <c r="O28" s="172">
        <v>0.4</v>
      </c>
      <c r="P28" s="172">
        <v>0.42500000000000004</v>
      </c>
    </row>
    <row r="29" spans="2:31" ht="15" thickBot="1" x14ac:dyDescent="0.4">
      <c r="B29" s="178"/>
      <c r="D29" s="179">
        <f>SUM(D12:D27)</f>
        <v>35000.000000000007</v>
      </c>
      <c r="E29" s="180">
        <f>+E15+E19+E23+E27</f>
        <v>300000</v>
      </c>
      <c r="F29" s="181">
        <f>SUM(F12:F27)</f>
        <v>41999.983999999997</v>
      </c>
      <c r="H29" s="146"/>
      <c r="J29" s="182"/>
      <c r="K29" s="183" t="s">
        <v>9</v>
      </c>
      <c r="L29" s="169">
        <f>L28+0.0001</f>
        <v>125000</v>
      </c>
      <c r="M29" s="170">
        <f>IF($D$9="YES",P29,O29)</f>
        <v>0.4</v>
      </c>
      <c r="N29" s="172">
        <f>+M29+2.5%</f>
        <v>0.42500000000000004</v>
      </c>
      <c r="O29" s="172">
        <v>0.4</v>
      </c>
      <c r="P29" s="172">
        <v>0.42500000000000004</v>
      </c>
    </row>
    <row r="30" spans="2:31" ht="15" thickBot="1" x14ac:dyDescent="0.4">
      <c r="B30" s="184"/>
      <c r="F30" s="85"/>
      <c r="H30" s="146"/>
      <c r="N30" s="86"/>
    </row>
    <row r="31" spans="2:31" hidden="1" x14ac:dyDescent="0.35">
      <c r="B31" s="185"/>
      <c r="D31" s="85"/>
      <c r="F31" s="186"/>
      <c r="H31" s="144"/>
      <c r="N31" s="86"/>
    </row>
    <row r="32" spans="2:31" ht="15" hidden="1" thickBot="1" x14ac:dyDescent="0.4">
      <c r="B32" s="184"/>
      <c r="F32" s="85"/>
      <c r="H32" s="122"/>
      <c r="N32" s="86"/>
    </row>
    <row r="33" spans="2:14" ht="19" thickBot="1" x14ac:dyDescent="0.5">
      <c r="B33" s="187"/>
      <c r="C33" s="188"/>
      <c r="D33" s="189" t="s">
        <v>73</v>
      </c>
      <c r="E33" s="190"/>
      <c r="F33" s="69">
        <f>+F29+D29+F31</f>
        <v>76999.983999999997</v>
      </c>
      <c r="H33" s="122"/>
      <c r="I33" s="92"/>
      <c r="N33" s="86"/>
    </row>
    <row r="34" spans="2:14" ht="19" thickBot="1" x14ac:dyDescent="0.5">
      <c r="B34" s="191"/>
      <c r="C34" s="192"/>
      <c r="D34" s="193" t="s">
        <v>74</v>
      </c>
      <c r="E34" s="192"/>
      <c r="F34" s="194">
        <f>+IF(E29&gt;0,F33/E29,100%)</f>
        <v>0.25666661333333335</v>
      </c>
      <c r="H34" s="122"/>
      <c r="I34" s="92"/>
      <c r="N34" s="86"/>
    </row>
    <row r="35" spans="2:14" ht="8.25" customHeight="1" thickBot="1" x14ac:dyDescent="0.4">
      <c r="B35" s="191"/>
      <c r="C35" s="192"/>
      <c r="D35" s="192"/>
      <c r="E35" s="192"/>
      <c r="F35" s="192"/>
      <c r="G35" s="192"/>
      <c r="H35" s="195"/>
      <c r="N35" s="86"/>
    </row>
    <row r="36" spans="2:14" ht="7.5" customHeight="1" thickBot="1" x14ac:dyDescent="0.4"/>
    <row r="37" spans="2:14" ht="15" thickBot="1" x14ac:dyDescent="0.4">
      <c r="B37" s="196" t="s">
        <v>75</v>
      </c>
      <c r="C37" s="197"/>
      <c r="D37" s="198"/>
      <c r="E37" s="197"/>
      <c r="F37" s="199">
        <f>P17</f>
        <v>43000.016000000003</v>
      </c>
      <c r="H37" s="85" t="s">
        <v>91</v>
      </c>
    </row>
    <row r="38" spans="2:14" ht="3.75" customHeight="1" thickBot="1" x14ac:dyDescent="0.4">
      <c r="F38" s="200"/>
    </row>
    <row r="39" spans="2:14" ht="19" thickBot="1" x14ac:dyDescent="0.5">
      <c r="D39" s="196" t="s">
        <v>76</v>
      </c>
      <c r="E39" s="201"/>
      <c r="F39" s="69">
        <f>F29+D29+F37</f>
        <v>120000</v>
      </c>
    </row>
    <row r="40" spans="2:14" ht="3.75" customHeight="1" thickBot="1" x14ac:dyDescent="0.4">
      <c r="F40"/>
    </row>
    <row r="41" spans="2:14" ht="16" thickBot="1" x14ac:dyDescent="0.4">
      <c r="D41" s="196" t="s">
        <v>74</v>
      </c>
      <c r="E41" s="201"/>
      <c r="F41" s="71">
        <f>IFERROR(F39/E29,0)</f>
        <v>0.4</v>
      </c>
    </row>
    <row r="44" spans="2:14" x14ac:dyDescent="0.35">
      <c r="B44" s="80" t="s">
        <v>33</v>
      </c>
    </row>
  </sheetData>
  <sheetProtection selectLockedCells="1"/>
  <protectedRanges>
    <protectedRange sqref="D15:E15 D8:D10 D19:E19 D23:E23 D27:E27 D12:D14 D16:D18 D20:D22 D24:D26" name="Range1"/>
    <protectedRange sqref="E12:E14 E16:E18 E20:E22 E24:E26" name="Range1_1"/>
  </protectedRanges>
  <mergeCells count="2">
    <mergeCell ref="AB12:AD12"/>
    <mergeCell ref="AG12:AI12"/>
  </mergeCells>
  <dataValidations count="1">
    <dataValidation type="list" allowBlank="1" showInputMessage="1" showErrorMessage="1" sqref="D10" xr:uid="{10FFB0CE-5633-4953-8181-17A0FBC7C098}">
      <formula1>$P$19:$P$20</formula1>
    </dataValidation>
  </dataValidations>
  <pageMargins left="0.70866141732283472" right="0.70866141732283472" top="0.74803149606299213" bottom="0.74803149606299213" header="0.31496062992125984" footer="0.31496062992125984"/>
  <pageSetup paperSize="9" scale="96" orientation="landscape" r:id="rId1"/>
  <ignoredErrors>
    <ignoredError sqref="E29"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2ec12c-f916-40dd-a225-ddaf91e9f860">
      <Terms xmlns="http://schemas.microsoft.com/office/infopath/2007/PartnerControls"/>
    </lcf76f155ced4ddcb4097134ff3c332f>
    <TaxCatchAll xmlns="24ddee17-a60b-4dce-b90d-7349489816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2A9D1A05E24E48B2A2C741ED6AD9C9" ma:contentTypeVersion="18" ma:contentTypeDescription="Create a new document." ma:contentTypeScope="" ma:versionID="5dcd23a6942e298a8d507ea58f3d908b">
  <xsd:schema xmlns:xsd="http://www.w3.org/2001/XMLSchema" xmlns:xs="http://www.w3.org/2001/XMLSchema" xmlns:p="http://schemas.microsoft.com/office/2006/metadata/properties" xmlns:ns2="202ec12c-f916-40dd-a225-ddaf91e9f860" xmlns:ns3="24ddee17-a60b-4dce-b90d-7349489816ce" targetNamespace="http://schemas.microsoft.com/office/2006/metadata/properties" ma:root="true" ma:fieldsID="3c99da0cbcbb7b9525c3b174bb3d53ac" ns2:_="" ns3:_="">
    <xsd:import namespace="202ec12c-f916-40dd-a225-ddaf91e9f860"/>
    <xsd:import namespace="24ddee17-a60b-4dce-b90d-7349489816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ec12c-f916-40dd-a225-ddaf91e9f8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dee472-654a-4227-9ae9-64f88dbca60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ddee17-a60b-4dce-b90d-7349489816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bdd1a23-381c-4422-ad5b-0087fee9a500}" ma:internalName="TaxCatchAll" ma:showField="CatchAllData" ma:web="24ddee17-a60b-4dce-b90d-7349489816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6C7709-CAAB-4F4B-BA2B-743B287B8241}">
  <ds:schemaRefs>
    <ds:schemaRef ds:uri="24ddee17-a60b-4dce-b90d-7349489816ce"/>
    <ds:schemaRef ds:uri="http://schemas.microsoft.com/office/2006/metadata/properties"/>
    <ds:schemaRef ds:uri="http://schemas.microsoft.com/office/2006/documentManagement/types"/>
    <ds:schemaRef ds:uri="http://purl.org/dc/terms/"/>
    <ds:schemaRef ds:uri="http://schemas.openxmlformats.org/package/2006/metadata/core-properties"/>
    <ds:schemaRef ds:uri="202ec12c-f916-40dd-a225-ddaf91e9f860"/>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BBBAEFF-4309-42B3-AFE4-9DA07CBAB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ec12c-f916-40dd-a225-ddaf91e9f860"/>
    <ds:schemaRef ds:uri="24ddee17-a60b-4dce-b90d-734948981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2FA570-9F98-42F8-9D30-A2CFF7107D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Interim</vt:lpstr>
      <vt:lpstr>Perm</vt:lpstr>
      <vt:lpstr>Interim!Print_Area</vt:lpstr>
      <vt:lpstr>Perm!Print_Area</vt:lpstr>
    </vt:vector>
  </TitlesOfParts>
  <Company>Investigo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Scott.Beckson</dc:creator>
  <cp:lastModifiedBy>Charandeep Chana</cp:lastModifiedBy>
  <cp:lastPrinted>2015-07-09T09:34:36Z</cp:lastPrinted>
  <dcterms:created xsi:type="dcterms:W3CDTF">2014-07-25T11:43:25Z</dcterms:created>
  <dcterms:modified xsi:type="dcterms:W3CDTF">2025-07-29T11:37:48Z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0x010100172A9D1A05E24E48B2A2C741ED6AD9C9</vt:lpwstr>
  </property>
  <property fmtid="{D5CDD505-2E9C-101B-9397-08002B2CF9AE}" pid="3" name="MediaServiceImageTags">
    <vt:lpwstr/>
  </property>
</Properties>
</file>